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1.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comments5.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clgcr.sharepoint.com/sites/ClimateLeadGroup-NDC_Ecu/Documentos compartidos/02_Data/5ta_comunicacion/AGRICULTURA/AGRICULTURA/INGEI_AGR_Copies/"/>
    </mc:Choice>
  </mc:AlternateContent>
  <xr:revisionPtr revIDLastSave="21" documentId="8_{C896DA24-7F04-40E6-82D2-4FB3C043A4E6}" xr6:coauthVersionLast="47" xr6:coauthVersionMax="47" xr10:uidLastSave="{86662007-85F8-493B-8FA2-8721670BD331}"/>
  <bookViews>
    <workbookView xWindow="-38520" yWindow="-120" windowWidth="38640" windowHeight="21120" tabRatio="834" firstSheet="13" activeTab="20" xr2:uid="{00000000-000D-0000-FFFF-FFFF00000000}"/>
  </bookViews>
  <sheets>
    <sheet name="INDICE" sheetId="25" r:id="rId1"/>
    <sheet name="Presentación" sheetId="18" state="hidden" r:id="rId2"/>
    <sheet name="Datos de Actividad" sheetId="19" r:id="rId3"/>
    <sheet name="3A1 Fermentación E." sheetId="7" r:id="rId4"/>
    <sheet name="3B Manejo de Estiércol CH4" sheetId="37" r:id="rId5"/>
    <sheet name="3B Gestión Estiércol N2O Dir" sheetId="2" r:id="rId6"/>
    <sheet name="3B Gestión Estiércol N2O Ind" sheetId="38" r:id="rId7"/>
    <sheet name="3C7 Arroz" sheetId="12" r:id="rId8"/>
    <sheet name="3C4 Suelos Agricolas N2O Direct" sheetId="11" r:id="rId9"/>
    <sheet name="Anexo 3C4" sheetId="21" r:id="rId10"/>
    <sheet name="3C5 Suelos Agricolas N2O Indire" sheetId="20" r:id="rId11"/>
    <sheet name="3C2 Encalado" sheetId="15" r:id="rId12"/>
    <sheet name="Hoja2" sheetId="54" state="hidden" r:id="rId13"/>
    <sheet name="3C3 UREA" sheetId="14" r:id="rId14"/>
    <sheet name="Cultivos" sheetId="17" state="hidden" r:id="rId15"/>
    <sheet name="Residuos Agricolas" sheetId="13" state="hidden" r:id="rId16"/>
    <sheet name="3C1 Quema de biomasa" sheetId="30" r:id="rId17"/>
    <sheet name="Hoja1" sheetId="24" state="hidden" r:id="rId18"/>
    <sheet name="Incertidumbre" sheetId="22" state="hidden" r:id="rId19"/>
    <sheet name="Cat. Principales (formula)" sheetId="26" state="hidden" r:id="rId20"/>
    <sheet name="RESULTADOS" sheetId="16" r:id="rId21"/>
    <sheet name="Calculation (table 3.2)" sheetId="55" r:id="rId22"/>
    <sheet name="Reporting (table 3.3)" sheetId="56" r:id="rId23"/>
    <sheet name="Reporting summary by sector" sheetId="57" r:id="rId24"/>
    <sheet name="Cat. Principales Desagregad (2)" sheetId="58" r:id="rId25"/>
    <sheet name="Table3" sheetId="40" r:id="rId26"/>
    <sheet name="Table3.A" sheetId="41" r:id="rId27"/>
    <sheet name="Table3.B(a)" sheetId="42" r:id="rId28"/>
    <sheet name="Table3.B(b)" sheetId="43" r:id="rId29"/>
    <sheet name="Table3.C" sheetId="44" r:id="rId30"/>
    <sheet name="Table3.D" sheetId="45" r:id="rId31"/>
    <sheet name="Table3.F" sheetId="46" r:id="rId32"/>
    <sheet name="Table3.G-J" sheetId="53" r:id="rId33"/>
    <sheet name="Summary1" sheetId="59" r:id="rId34"/>
    <sheet name="Summary2" sheetId="60" r:id="rId35"/>
    <sheet name="Summary3" sheetId="61" r:id="rId36"/>
    <sheet name="Cat. Principales Desagregado" sheetId="27" state="hidden" r:id="rId37"/>
  </sheets>
  <externalReferences>
    <externalReference r:id="rId38"/>
    <externalReference r:id="rId39"/>
    <externalReference r:id="rId40"/>
  </externalReferences>
  <definedNames>
    <definedName name="____W.O.R.K.B.O.O.K..C.O.N.T.E.N.T.S____" localSheetId="35">#REF!</definedName>
    <definedName name="____W.O.R.K.B.O.O.K..C.O.N.T.E.N.T.S____">#REF!</definedName>
    <definedName name="_xlnm._FilterDatabase" localSheetId="3" hidden="1">'3A1 Fermentación E.'!$B$40:$F$71</definedName>
    <definedName name="_xlnm._FilterDatabase" localSheetId="21" hidden="1">'Calculation (table 3.2)'!$A$2:$D$201</definedName>
    <definedName name="_xlnm._FilterDatabase" localSheetId="19" hidden="1">'Cat. Principales (formula)'!$B$11:$K$11</definedName>
    <definedName name="_xlnm._FilterDatabase" localSheetId="24" hidden="1">'Cat. Principales Desagregad (2)'!$A$11:$W$11</definedName>
    <definedName name="_xlnm._FilterDatabase" localSheetId="36" hidden="1">'Cat. Principales Desagregado'!$M$11:$V$11</definedName>
    <definedName name="_xlnm._FilterDatabase" localSheetId="22" hidden="1">'Reporting (table 3.3)'!$A$1:$Q$200</definedName>
    <definedName name="_xlnm._FilterDatabase" localSheetId="20" hidden="1">RESULTADOS!$L$38:$O$38</definedName>
    <definedName name="CRF_4_KP_I_A.1.1_Doc" localSheetId="35">#REF!</definedName>
    <definedName name="CRF_4_KP_I_A.1.1_Doc">#REF!</definedName>
    <definedName name="CRF_4_KP_I_A.2.1_Doc" localSheetId="35">#REF!</definedName>
    <definedName name="CRF_4_KP_I_A.2.1_Doc">#REF!</definedName>
    <definedName name="CRF_4_KP_I_A.2_Doc" localSheetId="35">#REF!</definedName>
    <definedName name="CRF_4_KP_I_A.2_Doc">#REF!</definedName>
    <definedName name="CRF_4_KP_I_B.1.1_Doc" localSheetId="35">#REF!</definedName>
    <definedName name="CRF_4_KP_I_B.1.1_Doc">#REF!</definedName>
    <definedName name="CRF_4_KP_I_B.1.3_Doc" localSheetId="35">#REF!</definedName>
    <definedName name="CRF_4_KP_I_B.1.3_Doc">#REF!</definedName>
    <definedName name="CRF_Address" localSheetId="35">#REF!</definedName>
    <definedName name="CRF_Address">#REF!</definedName>
    <definedName name="CRF_Address1" localSheetId="35">#REF!</definedName>
    <definedName name="CRF_Address1">#REF!</definedName>
    <definedName name="CRF_Comment" localSheetId="35">#REF!</definedName>
    <definedName name="CRF_Comment">#REF!</definedName>
    <definedName name="CRF_ContactName" localSheetId="35">#REF!</definedName>
    <definedName name="CRF_ContactName">#REF!</definedName>
    <definedName name="CRF_CountryName">[1]Sheet1!$C$4</definedName>
    <definedName name="CRF_Email" localSheetId="35">#REF!</definedName>
    <definedName name="CRF_Email">#REF!</definedName>
    <definedName name="CRF_Fax" localSheetId="35">#REF!</definedName>
    <definedName name="CRF_Fax">#REF!</definedName>
    <definedName name="CRF_InventoryYear">[1]Sheet1!$C$6</definedName>
    <definedName name="CRF_Organisation" localSheetId="35">#REF!</definedName>
    <definedName name="CRF_Organisation">#REF!</definedName>
    <definedName name="CRF_Phone" localSheetId="35">#REF!</definedName>
    <definedName name="CRF_Phone">#REF!</definedName>
    <definedName name="CRF_Sheet1_Main" localSheetId="35">#REF!</definedName>
    <definedName name="CRF_Sheet1_Main">#REF!</definedName>
    <definedName name="CRF_Status" localSheetId="35">#REF!</definedName>
    <definedName name="CRF_Status">#REF!</definedName>
    <definedName name="CRF_Submission">[1]Sheet1!$C$8</definedName>
    <definedName name="CRF_Summary1_A_Main" localSheetId="35">#REF!</definedName>
    <definedName name="CRF_Summary1_A_Main">#REF!</definedName>
    <definedName name="CRF_Summary1_A_Range1" localSheetId="35">#REF!</definedName>
    <definedName name="CRF_Summary1_A_Range1">#REF!</definedName>
    <definedName name="CRF_Summary2_Main" localSheetId="35">#REF!</definedName>
    <definedName name="CRF_Summary2_Main">#REF!</definedName>
    <definedName name="CRF_Summary2_Range1" localSheetId="35">#REF!</definedName>
    <definedName name="CRF_Summary2_Range1">#REF!</definedName>
    <definedName name="CRF_Table10s1_Dyn10" localSheetId="35">[1]Table10!#REF!</definedName>
    <definedName name="CRF_Table10s1_Dyn10">[1]Table10!#REF!</definedName>
    <definedName name="CRF_Table10s1_Dyn11">[1]Table10!#REF!</definedName>
    <definedName name="CRF_Table10s1_Dyn12">[1]Table10!#REF!</definedName>
    <definedName name="CRF_Table10s1_Dyn13">[1]Table10!#REF!</definedName>
    <definedName name="CRF_Table10s1_Dyn14">[1]Table10!#REF!</definedName>
    <definedName name="CRF_Table10s1_Dyn15">[1]Table10!#REF!</definedName>
    <definedName name="CRF_Table10s1_Dyn16">[1]Table10!#REF!</definedName>
    <definedName name="CRF_Table10s1_Dyn17">[1]Table10!#REF!</definedName>
    <definedName name="CRF_Table10s1_Dyn18">[1]Table10!#REF!</definedName>
    <definedName name="CRF_Table10s1_Dyn19">[1]Table10!#REF!</definedName>
    <definedName name="CRF_Table10s1_Dyn20">[1]Table10!#REF!</definedName>
    <definedName name="CRF_Table10s1_Dyn21">[1]Table10!#REF!</definedName>
    <definedName name="CRF_Table10s1_Dyn22">[1]Table10!#REF!</definedName>
    <definedName name="CRF_Table2_II__Doc" localSheetId="35">#REF!</definedName>
    <definedName name="CRF_Table2_II__Doc">#REF!</definedName>
    <definedName name="CRF_Table2_II__Main" localSheetId="35">#REF!</definedName>
    <definedName name="CRF_Table2_II__Main">#REF!</definedName>
    <definedName name="CRF_Table3.B_a_s2_Add" localSheetId="35">#REF!</definedName>
    <definedName name="CRF_Table3.B_a_s2_Add">#REF!</definedName>
    <definedName name="CRF_Table4.Gs1_Doc" localSheetId="35">#REF!</definedName>
    <definedName name="CRF_Table4.Gs1_Doc">#REF!</definedName>
    <definedName name="CRF_Table4.Gs1_Main1" localSheetId="35">#REF!</definedName>
    <definedName name="CRF_Table4.Gs1_Main1">#REF!</definedName>
    <definedName name="CRF_Table4.Gs1_Main2" localSheetId="35">#REF!</definedName>
    <definedName name="CRF_Table4.Gs1_Main2">#REF!</definedName>
    <definedName name="CRF_Table4.Gs1_Main3" localSheetId="35">#REF!</definedName>
    <definedName name="CRF_Table4.Gs1_Main3">#REF!</definedName>
    <definedName name="CRF_Table4.Gs1_Main4" localSheetId="35">#REF!</definedName>
    <definedName name="CRF_Table4.Gs1_Main4">#REF!</definedName>
    <definedName name="CRF_Table4.Gs1_Main5" localSheetId="35">#REF!</definedName>
    <definedName name="CRF_Table4.Gs1_Main5">#REF!</definedName>
    <definedName name="CRF_Table4.Gs1_Main6" localSheetId="35">#REF!</definedName>
    <definedName name="CRF_Table4.Gs1_Main6">#REF!</definedName>
    <definedName name="CRF_Table4.Gs1_Main7" localSheetId="35">#REF!</definedName>
    <definedName name="CRF_Table4.Gs1_Main7">#REF!</definedName>
    <definedName name="CRF_Table5.D_Add" localSheetId="35">#REF!</definedName>
    <definedName name="CRF_Table5.D_Add">#REF!</definedName>
    <definedName name="CRF_Table5.D_Doc" localSheetId="35">#REF!</definedName>
    <definedName name="CRF_Table5.D_Doc">#REF!</definedName>
    <definedName name="CRF_Table5.D_Main" localSheetId="35">#REF!</definedName>
    <definedName name="CRF_Table5.D_Main">#REF!</definedName>
    <definedName name="CRF_Table5_.D_Doc">[2]Table4.D!#REF!</definedName>
    <definedName name="CRF_Table5_.D_Main">[2]Table4.D!#REF!</definedName>
    <definedName name="CRF_Table5_.D_Range1">[2]Table4.D!#REF!</definedName>
    <definedName name="CRF_Table5_I_Main">'[2]Table4(I)'!#REF!</definedName>
    <definedName name="CRF_Table5_II_Doc" localSheetId="35">#REF!</definedName>
    <definedName name="CRF_Table5_II_Doc">#REF!</definedName>
    <definedName name="CRF_Table5_II_Main" localSheetId="35">#REF!</definedName>
    <definedName name="CRF_Table5_II_Main">#REF!</definedName>
    <definedName name="CRF_Table5_II_Range1" localSheetId="35">#REF!</definedName>
    <definedName name="CRF_Table5_II_Range1">#REF!</definedName>
    <definedName name="CRF_Table5_IV_Doc" localSheetId="35">#REF!</definedName>
    <definedName name="CRF_Table5_IV_Doc">#REF!</definedName>
    <definedName name="CRF_Table5_IV_Main" localSheetId="35">#REF!</definedName>
    <definedName name="CRF_Table5_IV_Main">#REF!</definedName>
    <definedName name="CRF_Table5_IV_Range1" localSheetId="35">#REF!</definedName>
    <definedName name="CRF_Table5_IV_Range1">#REF!</definedName>
    <definedName name="CRF_Table7_Main" localSheetId="35">#REF!</definedName>
    <definedName name="CRF_Table7_Main">#REF!</definedName>
    <definedName name="CRF_Time" localSheetId="35">#REF!</definedName>
    <definedName name="CRF_Time">#REF!</definedName>
    <definedName name="CRF_Title" localSheetId="35">#REF!</definedName>
    <definedName name="CRF_Title">#REF!</definedName>
    <definedName name="CRFBL_Version" localSheetId="35">#REF!</definedName>
    <definedName name="CRFBL_Version">#REF!</definedName>
    <definedName name="CRFDAC_Version" localSheetId="35">#REF!</definedName>
    <definedName name="CRFDAC_Version">#REF!</definedName>
    <definedName name="CRFReporter_Version" localSheetId="35">#REF!</definedName>
    <definedName name="CRFReporter_Version">#REF!</definedName>
    <definedName name="CRFSYS_Version" localSheetId="35">#REF!</definedName>
    <definedName name="CRFSYS_Version">#REF!</definedName>
    <definedName name="CRFTemplate_Version" localSheetId="35">#REF!</definedName>
    <definedName name="CRFTemplate_Version">#REF!</definedName>
    <definedName name="CRFXMLStream_Version" localSheetId="35">#REF!</definedName>
    <definedName name="CRFXMLStream_Version">#REF!</definedName>
    <definedName name="_xlnm.Print_Area" localSheetId="33">Summary1!$B$1:$O$85</definedName>
    <definedName name="_xlnm.Print_Area" localSheetId="34">Summary2!$B$1:$K$84</definedName>
    <definedName name="_xlnm.Print_Area" localSheetId="35">Summary3!$B$1:$R$70</definedName>
    <definedName name="_xlnm.Print_Titles" localSheetId="33">Summary1!$1:$9</definedName>
    <definedName name="_xlnm.Print_Titles" localSheetId="35">Summary3!$1:$9</definedName>
    <definedName name="Sheet11Range1" localSheetId="35">#REF!</definedName>
    <definedName name="Sheet11Range1">#REF!</definedName>
    <definedName name="Sheet11Range2" localSheetId="35">#REF!</definedName>
    <definedName name="Sheet11Range2">#REF!</definedName>
    <definedName name="Sheet11Range3" localSheetId="35">#REF!</definedName>
    <definedName name="Sheet11Range3">#REF!</definedName>
    <definedName name="Sheet11Range4" localSheetId="35">#REF!</definedName>
    <definedName name="Sheet11Range4">#REF!</definedName>
    <definedName name="Sheet13Range1" localSheetId="35">#REF!</definedName>
    <definedName name="Sheet13Range1">#REF!</definedName>
    <definedName name="Sheet13Range2" localSheetId="35">#REF!</definedName>
    <definedName name="Sheet13Range2">#REF!</definedName>
    <definedName name="Sheet15Range1" localSheetId="35">#REF!</definedName>
    <definedName name="Sheet15Range1">#REF!</definedName>
    <definedName name="Sheet15Range2" localSheetId="35">#REF!</definedName>
    <definedName name="Sheet15Range2">#REF!</definedName>
    <definedName name="Sheet16Range1" localSheetId="35">#REF!</definedName>
    <definedName name="Sheet16Range1">#REF!</definedName>
    <definedName name="Sheet16Range2" localSheetId="35">#REF!</definedName>
    <definedName name="Sheet16Range2">#REF!</definedName>
    <definedName name="Sheet16Range3" localSheetId="35">#REF!</definedName>
    <definedName name="Sheet16Range3">#REF!</definedName>
    <definedName name="Sheet16Range4" localSheetId="35">#REF!</definedName>
    <definedName name="Sheet16Range4">#REF!</definedName>
    <definedName name="Sheet18Range1" localSheetId="35">#REF!</definedName>
    <definedName name="Sheet18Range1">#REF!</definedName>
    <definedName name="Sheet18Range2" localSheetId="35">#REF!</definedName>
    <definedName name="Sheet18Range2">#REF!</definedName>
    <definedName name="Sheet18Range3" localSheetId="35">#REF!</definedName>
    <definedName name="Sheet18Range3">#REF!</definedName>
    <definedName name="Sheet18Range4" localSheetId="35">#REF!</definedName>
    <definedName name="Sheet18Range4">#REF!</definedName>
    <definedName name="Sheet18Range5" localSheetId="35">#REF!</definedName>
    <definedName name="Sheet18Range5">#REF!</definedName>
    <definedName name="Sheet18Range6" localSheetId="35">#REF!</definedName>
    <definedName name="Sheet18Range6">#REF!</definedName>
    <definedName name="Sheet19Range1" localSheetId="35">#REF!</definedName>
    <definedName name="Sheet19Range1">#REF!</definedName>
    <definedName name="Sheet19Range2" localSheetId="35">#REF!</definedName>
    <definedName name="Sheet19Range2">#REF!</definedName>
    <definedName name="Sheet19Range3" localSheetId="35">#REF!</definedName>
    <definedName name="Sheet19Range3">#REF!</definedName>
    <definedName name="Sheet19Range4" localSheetId="35">#REF!</definedName>
    <definedName name="Sheet19Range4">#REF!</definedName>
    <definedName name="Sheet1Range1" localSheetId="35">#REF!</definedName>
    <definedName name="Sheet1Range1">#REF!</definedName>
    <definedName name="Sheet1Range2" localSheetId="35">#REF!</definedName>
    <definedName name="Sheet1Range2">#REF!</definedName>
    <definedName name="Sheet20Range1" localSheetId="35">#REF!</definedName>
    <definedName name="Sheet20Range1">#REF!</definedName>
    <definedName name="Sheet20Range2" localSheetId="35">#REF!</definedName>
    <definedName name="Sheet20Range2">#REF!</definedName>
    <definedName name="Sheet20Range3" localSheetId="35">#REF!</definedName>
    <definedName name="Sheet20Range3">#REF!</definedName>
    <definedName name="Sheet20Range4" localSheetId="35">#REF!</definedName>
    <definedName name="Sheet20Range4">#REF!</definedName>
    <definedName name="Sheet21Range1" localSheetId="35">#REF!</definedName>
    <definedName name="Sheet21Range1">#REF!</definedName>
    <definedName name="Sheet21Range2" localSheetId="35">#REF!</definedName>
    <definedName name="Sheet21Range2">#REF!</definedName>
    <definedName name="Sheet22Range1" localSheetId="35">#REF!</definedName>
    <definedName name="Sheet22Range1">#REF!</definedName>
    <definedName name="Sheet22Range2" localSheetId="35">#REF!</definedName>
    <definedName name="Sheet22Range2">#REF!</definedName>
    <definedName name="Sheet22Range3" localSheetId="35">#REF!</definedName>
    <definedName name="Sheet22Range3">#REF!</definedName>
    <definedName name="Sheet22Range4" localSheetId="35">#REF!</definedName>
    <definedName name="Sheet22Range4">#REF!</definedName>
    <definedName name="Sheet23Range1" localSheetId="35">#REF!</definedName>
    <definedName name="Sheet23Range1">#REF!</definedName>
    <definedName name="Sheet23Range2" localSheetId="35">#REF!</definedName>
    <definedName name="Sheet23Range2">#REF!</definedName>
    <definedName name="Sheet23Range3" localSheetId="35">#REF!</definedName>
    <definedName name="Sheet23Range3">#REF!</definedName>
    <definedName name="Sheet23Range4" localSheetId="35">#REF!</definedName>
    <definedName name="Sheet23Range4">#REF!</definedName>
    <definedName name="Sheet24Range1" localSheetId="35">#REF!</definedName>
    <definedName name="Sheet24Range1">#REF!</definedName>
    <definedName name="Sheet24Range2" localSheetId="35">#REF!</definedName>
    <definedName name="Sheet24Range2">#REF!</definedName>
    <definedName name="Sheet24Range3" localSheetId="35">#REF!</definedName>
    <definedName name="Sheet24Range3">#REF!</definedName>
    <definedName name="Sheet24Range4" localSheetId="35">#REF!</definedName>
    <definedName name="Sheet24Range4">#REF!</definedName>
    <definedName name="Sheet25Range1" localSheetId="35">#REF!</definedName>
    <definedName name="Sheet25Range1">#REF!</definedName>
    <definedName name="Sheet25Range2" localSheetId="35">#REF!</definedName>
    <definedName name="Sheet25Range2">#REF!</definedName>
    <definedName name="Sheet29Range1" localSheetId="35">#REF!</definedName>
    <definedName name="Sheet29Range1">#REF!</definedName>
    <definedName name="Sheet29Range2" localSheetId="35">#REF!</definedName>
    <definedName name="Sheet29Range2">#REF!</definedName>
    <definedName name="Sheet30Range1">'[2]Table3.B(b)'!#REF!</definedName>
    <definedName name="Sheet30Range2">'[2]Table3.B(b)'!#REF!</definedName>
    <definedName name="Sheet30Range3">'[2]Table3.B(b)'!#REF!</definedName>
    <definedName name="Sheet30Range4">'[2]Table3.B(b)'!#REF!</definedName>
    <definedName name="Sheet30Range5">'[2]Table3.B(b)'!#REF!</definedName>
    <definedName name="Sheet31Range4">[2]Table3.C!#REF!</definedName>
    <definedName name="Sheet32Range1">[2]Table3.D!#REF!</definedName>
    <definedName name="Sheet32Range2" localSheetId="35">#REF!</definedName>
    <definedName name="Sheet32Range2">#REF!</definedName>
    <definedName name="Sheet32Range3" localSheetId="35">[2]Table3.D!#REF!</definedName>
    <definedName name="Sheet32Range3">[2]Table3.D!#REF!</definedName>
    <definedName name="Sheet32Range4" localSheetId="35">#REF!</definedName>
    <definedName name="Sheet32Range4">#REF!</definedName>
    <definedName name="Sheet33Range1" localSheetId="35">#REF!</definedName>
    <definedName name="Sheet33Range1">#REF!</definedName>
    <definedName name="Sheet33Range3" localSheetId="35">#REF!</definedName>
    <definedName name="Sheet33Range3">#REF!</definedName>
    <definedName name="Sheet34Range2">[2]Table3.E!#REF!</definedName>
    <definedName name="Sheet35Range1">[2]Table3.F!#REF!</definedName>
    <definedName name="Sheet35Range2">[2]Table3.F!#REF!</definedName>
    <definedName name="Sheet35Range4">[2]Table3.F!#REF!</definedName>
    <definedName name="Sheet36Range1" localSheetId="35">#REF!</definedName>
    <definedName name="Sheet36Range1">#REF!</definedName>
    <definedName name="Sheet36Range4">[2]Table4!#REF!</definedName>
    <definedName name="Sheet37Range1" localSheetId="35">#REF!</definedName>
    <definedName name="Sheet37Range1">#REF!</definedName>
    <definedName name="Sheet37Range2" localSheetId="35">#REF!</definedName>
    <definedName name="Sheet37Range2">#REF!</definedName>
    <definedName name="Sheet37Range3" localSheetId="35">#REF!</definedName>
    <definedName name="Sheet37Range3">#REF!</definedName>
    <definedName name="Sheet37Range4" localSheetId="35">#REF!</definedName>
    <definedName name="Sheet37Range4">#REF!</definedName>
    <definedName name="Sheet37Range5" localSheetId="35">#REF!</definedName>
    <definedName name="Sheet37Range5">#REF!</definedName>
    <definedName name="Sheet37Range6" localSheetId="35">#REF!</definedName>
    <definedName name="Sheet37Range6">#REF!</definedName>
    <definedName name="Sheet37Range7" localSheetId="35">#REF!</definedName>
    <definedName name="Sheet37Range7">#REF!</definedName>
    <definedName name="Sheet37Range8" localSheetId="35">#REF!</definedName>
    <definedName name="Sheet37Range8">#REF!</definedName>
    <definedName name="Sheet37Range9" localSheetId="35">#REF!</definedName>
    <definedName name="Sheet37Range9">#REF!</definedName>
    <definedName name="Sheet38Range1" localSheetId="35">#REF!</definedName>
    <definedName name="Sheet38Range1">#REF!</definedName>
    <definedName name="Sheet38Range2" localSheetId="35">#REF!</definedName>
    <definedName name="Sheet38Range2">#REF!</definedName>
    <definedName name="Sheet38Range3" localSheetId="35">#REF!</definedName>
    <definedName name="Sheet38Range3">#REF!</definedName>
    <definedName name="Sheet38Range4" localSheetId="35">#REF!</definedName>
    <definedName name="Sheet38Range4">#REF!</definedName>
    <definedName name="Sheet38Range5" localSheetId="35">#REF!</definedName>
    <definedName name="Sheet38Range5">#REF!</definedName>
    <definedName name="Sheet38Range6" localSheetId="35">#REF!</definedName>
    <definedName name="Sheet38Range6">#REF!</definedName>
    <definedName name="Sheet38Range7" localSheetId="35">#REF!</definedName>
    <definedName name="Sheet38Range7">#REF!</definedName>
    <definedName name="Sheet39Range1" localSheetId="35">#REF!</definedName>
    <definedName name="Sheet39Range1">#REF!</definedName>
    <definedName name="Sheet39Range2" localSheetId="35">#REF!</definedName>
    <definedName name="Sheet39Range2">#REF!</definedName>
    <definedName name="Sheet39Range3" localSheetId="35">#REF!</definedName>
    <definedName name="Sheet39Range3">#REF!</definedName>
    <definedName name="Sheet39Range4" localSheetId="35">#REF!</definedName>
    <definedName name="Sheet39Range4">#REF!</definedName>
    <definedName name="Sheet39Range5" localSheetId="35">#REF!</definedName>
    <definedName name="Sheet39Range5">#REF!</definedName>
    <definedName name="Sheet40Range1" localSheetId="35">#REF!</definedName>
    <definedName name="Sheet40Range1">#REF!</definedName>
    <definedName name="Sheet40Range2" localSheetId="35">#REF!</definedName>
    <definedName name="Sheet40Range2">#REF!</definedName>
    <definedName name="Sheet40Range3" localSheetId="35">#REF!</definedName>
    <definedName name="Sheet40Range3">#REF!</definedName>
    <definedName name="Sheet40Range4" localSheetId="35">#REF!</definedName>
    <definedName name="Sheet40Range4">#REF!</definedName>
    <definedName name="Sheet40Range5" localSheetId="35">#REF!</definedName>
    <definedName name="Sheet40Range5">#REF!</definedName>
    <definedName name="Sheet40Range6" localSheetId="35">#REF!</definedName>
    <definedName name="Sheet40Range6">#REF!</definedName>
    <definedName name="Sheet40Range7" localSheetId="35">#REF!</definedName>
    <definedName name="Sheet40Range7">#REF!</definedName>
    <definedName name="Sheet41Range1" localSheetId="35">#REF!</definedName>
    <definedName name="Sheet41Range1">#REF!</definedName>
    <definedName name="Sheet41Range2" localSheetId="35">#REF!</definedName>
    <definedName name="Sheet41Range2">#REF!</definedName>
    <definedName name="Sheet43Range1" localSheetId="35">#REF!</definedName>
    <definedName name="Sheet43Range1">#REF!</definedName>
    <definedName name="Sheet43Range2" localSheetId="35">#REF!</definedName>
    <definedName name="Sheet43Range2">#REF!</definedName>
    <definedName name="Sheet43Range3" localSheetId="35">#REF!</definedName>
    <definedName name="Sheet43Range3">#REF!</definedName>
    <definedName name="Sheet43Range5" localSheetId="35">#REF!</definedName>
    <definedName name="Sheet43Range5">#REF!</definedName>
    <definedName name="Sheet44Range1" localSheetId="35">#REF!</definedName>
    <definedName name="Sheet44Range1">#REF!</definedName>
    <definedName name="Sheet44Range2" localSheetId="35">#REF!</definedName>
    <definedName name="Sheet44Range2">#REF!</definedName>
    <definedName name="Sheet45Range1" localSheetId="35">#REF!</definedName>
    <definedName name="Sheet45Range1">#REF!</definedName>
    <definedName name="Sheet45Range2" localSheetId="35">#REF!</definedName>
    <definedName name="Sheet45Range2">#REF!</definedName>
    <definedName name="Sheet45Range3" localSheetId="35">#REF!</definedName>
    <definedName name="Sheet45Range3">#REF!</definedName>
    <definedName name="Sheet45Range4" localSheetId="35">#REF!</definedName>
    <definedName name="Sheet45Range4">#REF!</definedName>
    <definedName name="Sheet45Range5" localSheetId="35">#REF!</definedName>
    <definedName name="Sheet45Range5">#REF!</definedName>
    <definedName name="Sheet46Range1" localSheetId="35">#REF!</definedName>
    <definedName name="Sheet46Range1">#REF!</definedName>
    <definedName name="Sheet46Range2" localSheetId="35">#REF!</definedName>
    <definedName name="Sheet46Range2">#REF!</definedName>
    <definedName name="Sheet46Range3" localSheetId="35">#REF!</definedName>
    <definedName name="Sheet46Range3">#REF!</definedName>
    <definedName name="Sheet46Range4" localSheetId="35">#REF!</definedName>
    <definedName name="Sheet46Range4">#REF!</definedName>
    <definedName name="Sheet46Range5" localSheetId="35">#REF!</definedName>
    <definedName name="Sheet46Range5">#REF!</definedName>
    <definedName name="Sheet47Range1" localSheetId="35">#REF!</definedName>
    <definedName name="Sheet47Range1">#REF!</definedName>
    <definedName name="Sheet47Range2" localSheetId="35">#REF!</definedName>
    <definedName name="Sheet47Range2">#REF!</definedName>
    <definedName name="Sheet48Range1" localSheetId="35">#REF!</definedName>
    <definedName name="Sheet48Range1">#REF!</definedName>
    <definedName name="Sheet48Range2" localSheetId="35">#REF!</definedName>
    <definedName name="Sheet48Range2">#REF!</definedName>
    <definedName name="Sheet49Range1" localSheetId="35">#REF!</definedName>
    <definedName name="Sheet49Range1">#REF!</definedName>
    <definedName name="Sheet49Range2" localSheetId="35">#REF!</definedName>
    <definedName name="Sheet49Range2">#REF!</definedName>
    <definedName name="Sheet50Range1" localSheetId="35">#REF!</definedName>
    <definedName name="Sheet50Range1">#REF!</definedName>
    <definedName name="Sheet50Range2" localSheetId="35">#REF!</definedName>
    <definedName name="Sheet50Range2">#REF!</definedName>
    <definedName name="Sheet51Range1">Summary2!$B$8:$K$57</definedName>
    <definedName name="Sheet51Range2">Summary2!$B$59:$K$64</definedName>
    <definedName name="Sheet51Range3">[3]Summary2!#REF!</definedName>
    <definedName name="Sheet51Range4" localSheetId="35">[2]Summary2!#REF!</definedName>
    <definedName name="Sheet51Range4">Summary2!#REF!</definedName>
    <definedName name="Sheet51Range5">Summary2!$K$1:$K$3</definedName>
    <definedName name="Sheet52Range1">Summary3!$B$8:$R$29</definedName>
    <definedName name="Sheet52Range2">Summary3!$R$1:$R$2</definedName>
    <definedName name="Sheet53Range1" localSheetId="35">#REF!</definedName>
    <definedName name="Sheet53Range1">#REF!</definedName>
    <definedName name="Sheet53Range2" localSheetId="35">#REF!</definedName>
    <definedName name="Sheet53Range2">#REF!</definedName>
    <definedName name="Sheet53Range3" localSheetId="35">#REF!</definedName>
    <definedName name="Sheet53Range3">#REF!</definedName>
    <definedName name="Sheet53Range4" localSheetId="35">#REF!</definedName>
    <definedName name="Sheet53Range4">#REF!</definedName>
    <definedName name="Sheet54Range2" localSheetId="35">#REF!</definedName>
    <definedName name="Sheet54Range2">#REF!</definedName>
    <definedName name="Sheet55Range1" localSheetId="35">#REF!</definedName>
    <definedName name="Sheet55Range1">#REF!</definedName>
    <definedName name="Sheet55Range2">'[3]Table8(a)s3'!#REF!</definedName>
    <definedName name="Sheet55Range3">'[3]Table8(a)s3'!#REF!</definedName>
    <definedName name="Sheet55Range4">'[3]Table8(a)s3'!#REF!</definedName>
    <definedName name="Sheet55Range5" localSheetId="35">#REF!</definedName>
    <definedName name="Sheet55Range5">#REF!</definedName>
    <definedName name="Sheet55Range6">'[3]Table8(a)s3'!#REF!</definedName>
    <definedName name="Sheet56Range1" localSheetId="35">#REF!</definedName>
    <definedName name="Sheet56Range1">#REF!</definedName>
    <definedName name="Sheet56Range2" localSheetId="35">#REF!</definedName>
    <definedName name="Sheet56Range2">#REF!</definedName>
    <definedName name="Sheet56Range3" localSheetId="35">#REF!</definedName>
    <definedName name="Sheet56Range3">#REF!</definedName>
    <definedName name="Sheet56Range4" localSheetId="35">#REF!</definedName>
    <definedName name="Sheet56Range4">#REF!</definedName>
    <definedName name="Sheet56Range5" localSheetId="35">#REF!</definedName>
    <definedName name="Sheet56Range5">#REF!</definedName>
    <definedName name="Sheet56Range6" localSheetId="35">#REF!</definedName>
    <definedName name="Sheet56Range6">#REF!</definedName>
    <definedName name="Sheet58Range1" localSheetId="35">#REF!</definedName>
    <definedName name="Sheet58Range1">#REF!</definedName>
    <definedName name="Sheet58Range2" localSheetId="35">#REF!</definedName>
    <definedName name="Sheet58Range2">#REF!</definedName>
    <definedName name="Sheet58Range3" localSheetId="35">#REF!</definedName>
    <definedName name="Sheet58Range3">#REF!</definedName>
    <definedName name="Sheet58Range4" localSheetId="35">#REF!</definedName>
    <definedName name="Sheet58Range4">#REF!</definedName>
    <definedName name="Sheet58Range5" localSheetId="35">#REF!</definedName>
    <definedName name="Sheet58Range5">#REF!</definedName>
    <definedName name="Sheet58Range6" localSheetId="35">#REF!</definedName>
    <definedName name="Sheet58Range6">#REF!</definedName>
    <definedName name="Sheet63Range1" localSheetId="35">#REF!</definedName>
    <definedName name="Sheet63Range1">#REF!</definedName>
    <definedName name="Sheet63Range2" localSheetId="35">#REF!</definedName>
    <definedName name="Sheet63Range2">#REF!</definedName>
    <definedName name="Sheet63Range3" localSheetId="35">#REF!</definedName>
    <definedName name="Sheet63Range3">#REF!</definedName>
    <definedName name="Sheet63Range4" localSheetId="35">#REF!</definedName>
    <definedName name="Sheet63Range4">#REF!</definedName>
    <definedName name="Sheet63Range5" localSheetId="35">#REF!</definedName>
    <definedName name="Sheet63Range5">#REF!</definedName>
    <definedName name="Sheet63Range6" localSheetId="35">#REF!</definedName>
    <definedName name="Sheet63Range6">#REF!</definedName>
    <definedName name="Sheet63Range7" localSheetId="35">#REF!</definedName>
    <definedName name="Sheet63Range7">#REF!</definedName>
    <definedName name="Sheet64Range2">[2]Table7!#REF!</definedName>
    <definedName name="Sheet64Range4">[2]Table7!#REF!</definedName>
    <definedName name="Sheet8Range2">'[3]Table1.A(c)'!#REF!</definedName>
    <definedName name="Sheet9Range2">'[2]Table1.A(d)'!#REF!</definedName>
    <definedName name="Sheet9Range4">'[2]Table1.A(d)'!#REF!</definedName>
    <definedName name="Sheet9Range5">'[3]Table1.A(d)changed'!#REF!</definedName>
    <definedName name="ss" localSheetId="35">#REF!</definedName>
    <definedName name="ss">#REF!</definedName>
    <definedName name="Start1" localSheetId="35">#REF!</definedName>
    <definedName name="Start1">#REF!</definedName>
    <definedName name="Start3" localSheetId="35">#REF!</definedName>
    <definedName name="Start3">#REF!</definedName>
    <definedName name="Start41" localSheetId="35">#REF!</definedName>
    <definedName name="Start41">#REF!</definedName>
    <definedName name="Start5" localSheetId="35">#REF!</definedName>
    <definedName name="Start5">#REF!</definedName>
    <definedName name="Start50">Summary1!$B$7</definedName>
    <definedName name="Start51" localSheetId="35">#REF!</definedName>
    <definedName name="Start51">#REF!</definedName>
    <definedName name="Start52">Summary2!$B$7</definedName>
    <definedName name="Start53" localSheetId="35">#REF!</definedName>
    <definedName name="Start53">#REF!</definedName>
    <definedName name="Start54">Summary3!$B$7</definedName>
    <definedName name="Start55" localSheetId="35">#REF!</definedName>
    <definedName name="Start55">#REF!</definedName>
    <definedName name="Start58" localSheetId="35">#REF!</definedName>
    <definedName name="Start58">#REF!</definedName>
    <definedName name="Start68" localSheetId="35">#REF!</definedName>
    <definedName name="Start68">#REF!</definedName>
    <definedName name="VCache_Version" localSheetId="35">#REF!</definedName>
    <definedName name="VCache_Version">#REF!</definedName>
    <definedName name="Version_number" localSheetId="35">#REF!</definedName>
    <definedName name="Version_number">#REF!</definedName>
    <definedName name="VL_Version" localSheetId="35">#REF!</definedName>
    <definedName name="VL_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46" l="1"/>
  <c r="E19" i="46" s="1"/>
  <c r="E17" i="46"/>
  <c r="E16" i="46" s="1"/>
  <c r="D10" i="21"/>
  <c r="D11" i="21"/>
  <c r="D12" i="21"/>
  <c r="D13" i="21"/>
  <c r="D14" i="21"/>
  <c r="D15" i="21"/>
  <c r="D16" i="21"/>
  <c r="D17" i="21"/>
  <c r="D18" i="21"/>
  <c r="D9" i="21"/>
  <c r="N13" i="15" l="1"/>
  <c r="C14" i="14"/>
  <c r="N15" i="15"/>
  <c r="N15" i="11" l="1"/>
  <c r="D14" i="7"/>
  <c r="D15" i="7"/>
  <c r="D16" i="7"/>
  <c r="D17" i="7"/>
  <c r="D18" i="7"/>
  <c r="D19" i="7"/>
  <c r="D20" i="7"/>
  <c r="D21" i="7"/>
  <c r="D22" i="7"/>
  <c r="D23" i="7"/>
  <c r="D24" i="7"/>
  <c r="D25" i="7"/>
  <c r="D26" i="7"/>
  <c r="D27" i="7"/>
  <c r="D28" i="7"/>
  <c r="D29" i="7"/>
  <c r="D30" i="7"/>
  <c r="D31" i="7"/>
  <c r="D32" i="7"/>
  <c r="D33" i="7"/>
  <c r="D34" i="7"/>
  <c r="D35" i="7"/>
  <c r="D13" i="7"/>
  <c r="D77" i="30"/>
  <c r="F33" i="30" s="1"/>
  <c r="D20" i="46" s="1"/>
  <c r="D19" i="46" s="1"/>
  <c r="F16" i="38"/>
  <c r="F17" i="38"/>
  <c r="F18" i="38"/>
  <c r="F19" i="38"/>
  <c r="F20" i="38"/>
  <c r="F21" i="38"/>
  <c r="F22" i="38"/>
  <c r="F23" i="38"/>
  <c r="F24" i="38"/>
  <c r="F25" i="38"/>
  <c r="F26" i="38"/>
  <c r="F27" i="38"/>
  <c r="F28" i="38"/>
  <c r="F29" i="38"/>
  <c r="F30" i="38"/>
  <c r="F31" i="38"/>
  <c r="F32" i="38"/>
  <c r="F33" i="38"/>
  <c r="F34" i="38"/>
  <c r="F35" i="38"/>
  <c r="F36" i="38"/>
  <c r="F37" i="38"/>
  <c r="F15" i="38"/>
  <c r="J15" i="12" l="1"/>
  <c r="J18" i="12" s="1"/>
  <c r="P15" i="11"/>
  <c r="M169" i="19" l="1"/>
  <c r="J35" i="40" l="1"/>
  <c r="B30" i="53" l="1"/>
  <c r="C30" i="53"/>
  <c r="D30" i="53"/>
  <c r="C29" i="53"/>
  <c r="D29" i="53"/>
  <c r="E29" i="53"/>
  <c r="B29" i="53"/>
  <c r="B25" i="53"/>
  <c r="C25" i="53"/>
  <c r="D25" i="53"/>
  <c r="E25" i="53"/>
  <c r="B26" i="53"/>
  <c r="C26" i="53"/>
  <c r="D26" i="53"/>
  <c r="B27" i="53"/>
  <c r="C27" i="53"/>
  <c r="D27" i="53"/>
  <c r="E27" i="53"/>
  <c r="B28" i="53"/>
  <c r="C28" i="53"/>
  <c r="D28" i="53"/>
  <c r="E24" i="53"/>
  <c r="C24" i="53"/>
  <c r="D24" i="53"/>
  <c r="B24" i="53"/>
  <c r="B34" i="46"/>
  <c r="C34" i="46"/>
  <c r="D34" i="46"/>
  <c r="E34" i="46"/>
  <c r="B35" i="46"/>
  <c r="C35" i="46"/>
  <c r="D35" i="46"/>
  <c r="B36" i="46"/>
  <c r="C36" i="46"/>
  <c r="D36" i="46"/>
  <c r="B37" i="46"/>
  <c r="C37" i="46"/>
  <c r="D37" i="46"/>
  <c r="B38" i="46"/>
  <c r="E38" i="46"/>
  <c r="C33" i="46"/>
  <c r="D33" i="46"/>
  <c r="E33" i="46"/>
  <c r="B33" i="46"/>
  <c r="B51" i="45"/>
  <c r="C51" i="45"/>
  <c r="D51" i="45"/>
  <c r="E51" i="45"/>
  <c r="B52" i="45"/>
  <c r="C52" i="45"/>
  <c r="D52" i="45"/>
  <c r="B53" i="45"/>
  <c r="C53" i="45"/>
  <c r="D53" i="45"/>
  <c r="E53" i="45"/>
  <c r="B54" i="45"/>
  <c r="C54" i="45"/>
  <c r="D54" i="45"/>
  <c r="B55" i="45"/>
  <c r="C55" i="45"/>
  <c r="D55" i="45"/>
  <c r="B56" i="45"/>
  <c r="C56" i="45"/>
  <c r="D56" i="45"/>
  <c r="C50" i="45"/>
  <c r="D50" i="45"/>
  <c r="E50" i="45"/>
  <c r="B50" i="45"/>
  <c r="B49" i="45"/>
  <c r="C49" i="45"/>
  <c r="D49" i="45"/>
  <c r="B39" i="45"/>
  <c r="C39" i="45"/>
  <c r="D39" i="45"/>
  <c r="E39" i="45"/>
  <c r="B40" i="45"/>
  <c r="C40" i="45"/>
  <c r="D40" i="45"/>
  <c r="E40" i="45"/>
  <c r="B41" i="45"/>
  <c r="C41" i="45"/>
  <c r="D41" i="45"/>
  <c r="E41" i="45"/>
  <c r="B42" i="45"/>
  <c r="C42" i="45"/>
  <c r="D42" i="45"/>
  <c r="E42" i="45"/>
  <c r="B43" i="45"/>
  <c r="C43" i="45"/>
  <c r="D43" i="45"/>
  <c r="E43" i="45"/>
  <c r="B44" i="45"/>
  <c r="C44" i="45"/>
  <c r="D44" i="45"/>
  <c r="E44" i="45"/>
  <c r="B45" i="45"/>
  <c r="C45" i="45"/>
  <c r="D45" i="45"/>
  <c r="B46" i="45"/>
  <c r="C46" i="45"/>
  <c r="D46" i="45"/>
  <c r="B47" i="45"/>
  <c r="C47" i="45"/>
  <c r="D47" i="45"/>
  <c r="B48" i="45"/>
  <c r="C48" i="45"/>
  <c r="D48" i="45"/>
  <c r="E38" i="45"/>
  <c r="C38" i="45"/>
  <c r="D38" i="45"/>
  <c r="B38" i="45"/>
  <c r="C35" i="44"/>
  <c r="D35" i="44"/>
  <c r="E35" i="44"/>
  <c r="C36" i="44"/>
  <c r="D36" i="44"/>
  <c r="E36" i="44"/>
  <c r="C37" i="44"/>
  <c r="D37" i="44"/>
  <c r="E37" i="44"/>
  <c r="C38" i="44"/>
  <c r="D38" i="44"/>
  <c r="E38" i="44"/>
  <c r="C39" i="44"/>
  <c r="D39" i="44"/>
  <c r="E39" i="44"/>
  <c r="C40" i="44"/>
  <c r="D40" i="44"/>
  <c r="E40" i="44"/>
  <c r="C41" i="44"/>
  <c r="D41" i="44"/>
  <c r="E41" i="44"/>
  <c r="C42" i="44"/>
  <c r="D42" i="44"/>
  <c r="E42" i="44"/>
  <c r="C43" i="44"/>
  <c r="D43" i="44"/>
  <c r="E43" i="44"/>
  <c r="C44" i="44"/>
  <c r="D44" i="44"/>
  <c r="E44" i="44"/>
  <c r="B44" i="44"/>
  <c r="B36" i="44"/>
  <c r="B37" i="44"/>
  <c r="B38" i="44"/>
  <c r="B39" i="44"/>
  <c r="B40" i="44"/>
  <c r="B41" i="44"/>
  <c r="B42" i="44"/>
  <c r="B43" i="44"/>
  <c r="B35" i="44"/>
  <c r="C60" i="43" a="1"/>
  <c r="C60" i="43" s="1"/>
  <c r="D60" i="43" a="1"/>
  <c r="D60" i="43" s="1"/>
  <c r="E60" i="43" a="1"/>
  <c r="E60" i="43" s="1"/>
  <c r="F60" i="43" a="1"/>
  <c r="F60" i="43" s="1"/>
  <c r="G60" i="43" a="1"/>
  <c r="G60" i="43" s="1"/>
  <c r="H60" i="43" a="1"/>
  <c r="H60" i="43" s="1"/>
  <c r="B60" i="43" a="1"/>
  <c r="B60" i="43" s="1"/>
  <c r="C62" i="43"/>
  <c r="D62" i="43"/>
  <c r="E62" i="43"/>
  <c r="F62" i="43"/>
  <c r="G62" i="43"/>
  <c r="H62" i="43"/>
  <c r="C63" i="43"/>
  <c r="D63" i="43"/>
  <c r="E63" i="43"/>
  <c r="F63" i="43"/>
  <c r="G63" i="43"/>
  <c r="H63" i="43"/>
  <c r="C64" i="43"/>
  <c r="D64" i="43"/>
  <c r="E64" i="43"/>
  <c r="F64" i="43"/>
  <c r="G64" i="43"/>
  <c r="H64" i="43"/>
  <c r="C65" i="43"/>
  <c r="D65" i="43"/>
  <c r="E65" i="43"/>
  <c r="F65" i="43"/>
  <c r="G65" i="43"/>
  <c r="H65" i="43"/>
  <c r="C66" i="43"/>
  <c r="D66" i="43"/>
  <c r="E66" i="43"/>
  <c r="F66" i="43"/>
  <c r="G66" i="43"/>
  <c r="H66" i="43"/>
  <c r="C67" i="43"/>
  <c r="D67" i="43"/>
  <c r="E67" i="43"/>
  <c r="F67" i="43"/>
  <c r="G67" i="43"/>
  <c r="H67" i="43"/>
  <c r="C68" i="43"/>
  <c r="D68" i="43"/>
  <c r="E68" i="43"/>
  <c r="F68" i="43"/>
  <c r="G68" i="43"/>
  <c r="H68" i="43"/>
  <c r="C69" i="43"/>
  <c r="D69" i="43"/>
  <c r="E69" i="43"/>
  <c r="F69" i="43"/>
  <c r="G69" i="43"/>
  <c r="H69" i="43"/>
  <c r="C70" i="43"/>
  <c r="D70" i="43"/>
  <c r="E70" i="43"/>
  <c r="F70" i="43"/>
  <c r="G70" i="43"/>
  <c r="H70" i="43"/>
  <c r="C71" i="43"/>
  <c r="D71" i="43"/>
  <c r="E71" i="43"/>
  <c r="F71" i="43"/>
  <c r="G71" i="43"/>
  <c r="H71" i="43"/>
  <c r="C72" i="43"/>
  <c r="D72" i="43"/>
  <c r="E72" i="43"/>
  <c r="F72" i="43"/>
  <c r="G72" i="43"/>
  <c r="H72" i="43"/>
  <c r="C73" i="43"/>
  <c r="D73" i="43"/>
  <c r="E73" i="43"/>
  <c r="F73" i="43"/>
  <c r="G73" i="43"/>
  <c r="H73" i="43"/>
  <c r="C74" i="43"/>
  <c r="D74" i="43"/>
  <c r="E74" i="43"/>
  <c r="F74" i="43"/>
  <c r="G74" i="43"/>
  <c r="H74" i="43"/>
  <c r="C75" i="43"/>
  <c r="D75" i="43"/>
  <c r="E75" i="43"/>
  <c r="F75" i="43"/>
  <c r="G75" i="43"/>
  <c r="H75" i="43"/>
  <c r="D61" i="43"/>
  <c r="E61" i="43"/>
  <c r="F61" i="43"/>
  <c r="G61" i="43"/>
  <c r="H61" i="43"/>
  <c r="C61" i="43"/>
  <c r="B74" i="43" a="1"/>
  <c r="B74" i="43" s="1"/>
  <c r="B75" i="43" a="1"/>
  <c r="B75" i="43" s="1"/>
  <c r="B73" i="43" a="1"/>
  <c r="B73" i="43" s="1"/>
  <c r="B62" i="43" a="1"/>
  <c r="B62" i="43" s="1"/>
  <c r="B63" i="43" a="1"/>
  <c r="B63" i="43" s="1"/>
  <c r="B64" i="43" a="1"/>
  <c r="B64" i="43" s="1"/>
  <c r="B65" i="43" a="1"/>
  <c r="B65" i="43" s="1"/>
  <c r="B66" i="43" a="1"/>
  <c r="B66" i="43" s="1"/>
  <c r="B67" i="43" a="1"/>
  <c r="B67" i="43" s="1"/>
  <c r="B68" i="43" a="1"/>
  <c r="B68" i="43" s="1"/>
  <c r="B69" i="43" a="1"/>
  <c r="B69" i="43" s="1"/>
  <c r="B70" i="43" a="1"/>
  <c r="B70" i="43" s="1"/>
  <c r="B71" i="43" a="1"/>
  <c r="B71" i="43" s="1"/>
  <c r="B72" i="43" a="1"/>
  <c r="B72" i="43" s="1"/>
  <c r="B61" i="43" a="1"/>
  <c r="B61" i="43" s="1"/>
  <c r="B59" i="42"/>
  <c r="C59" i="42"/>
  <c r="D59" i="42"/>
  <c r="E59" i="42"/>
  <c r="F59" i="42"/>
  <c r="G59" i="42"/>
  <c r="H59" i="42"/>
  <c r="B60" i="42"/>
  <c r="C60" i="42"/>
  <c r="D60" i="42"/>
  <c r="E60" i="42"/>
  <c r="F60" i="42"/>
  <c r="G60" i="42"/>
  <c r="H60" i="42"/>
  <c r="B61" i="42"/>
  <c r="C61" i="42"/>
  <c r="D61" i="42"/>
  <c r="E61" i="42"/>
  <c r="F61" i="42"/>
  <c r="G61" i="42"/>
  <c r="H61" i="42"/>
  <c r="B62" i="42"/>
  <c r="C62" i="42"/>
  <c r="D62" i="42"/>
  <c r="E62" i="42"/>
  <c r="F62" i="42"/>
  <c r="G62" i="42"/>
  <c r="H62" i="42"/>
  <c r="B63" i="42"/>
  <c r="C63" i="42"/>
  <c r="D63" i="42"/>
  <c r="E63" i="42"/>
  <c r="F63" i="42"/>
  <c r="G63" i="42"/>
  <c r="H63" i="42"/>
  <c r="B64" i="42"/>
  <c r="C64" i="42"/>
  <c r="D64" i="42"/>
  <c r="E64" i="42"/>
  <c r="F64" i="42"/>
  <c r="G64" i="42"/>
  <c r="H64" i="42"/>
  <c r="B65" i="42"/>
  <c r="C65" i="42"/>
  <c r="D65" i="42"/>
  <c r="E65" i="42"/>
  <c r="F65" i="42"/>
  <c r="G65" i="42"/>
  <c r="H65" i="42"/>
  <c r="B66" i="42"/>
  <c r="C66" i="42"/>
  <c r="D66" i="42"/>
  <c r="E66" i="42"/>
  <c r="F66" i="42"/>
  <c r="G66" i="42"/>
  <c r="H66" i="42"/>
  <c r="B67" i="42"/>
  <c r="C67" i="42"/>
  <c r="D67" i="42"/>
  <c r="E67" i="42"/>
  <c r="F67" i="42"/>
  <c r="G67" i="42"/>
  <c r="H67" i="42"/>
  <c r="B68" i="42"/>
  <c r="C68" i="42"/>
  <c r="D68" i="42"/>
  <c r="E68" i="42"/>
  <c r="F68" i="42"/>
  <c r="G68" i="42"/>
  <c r="H68" i="42"/>
  <c r="B69" i="42"/>
  <c r="C69" i="42"/>
  <c r="D69" i="42"/>
  <c r="E69" i="42"/>
  <c r="F69" i="42"/>
  <c r="G69" i="42"/>
  <c r="H69" i="42"/>
  <c r="B70" i="42"/>
  <c r="C70" i="42"/>
  <c r="D70" i="42"/>
  <c r="E70" i="42"/>
  <c r="F70" i="42"/>
  <c r="G70" i="42"/>
  <c r="H70" i="42"/>
  <c r="B71" i="42"/>
  <c r="C71" i="42"/>
  <c r="D71" i="42"/>
  <c r="E71" i="42"/>
  <c r="F71" i="42"/>
  <c r="G71" i="42"/>
  <c r="H71" i="42"/>
  <c r="B72" i="42"/>
  <c r="C72" i="42"/>
  <c r="D72" i="42"/>
  <c r="E72" i="42"/>
  <c r="F72" i="42"/>
  <c r="G72" i="42"/>
  <c r="H72" i="42"/>
  <c r="C58" i="42"/>
  <c r="D58" i="42"/>
  <c r="E58" i="42"/>
  <c r="F58" i="42"/>
  <c r="G58" i="42"/>
  <c r="H58" i="42"/>
  <c r="B58" i="42"/>
  <c r="B59" i="41"/>
  <c r="C59" i="41"/>
  <c r="D59" i="41"/>
  <c r="E59" i="41"/>
  <c r="B60" i="41"/>
  <c r="C60" i="41"/>
  <c r="D60" i="41"/>
  <c r="E60" i="41"/>
  <c r="B61" i="41"/>
  <c r="C61" i="41"/>
  <c r="D61" i="41"/>
  <c r="E61" i="41"/>
  <c r="B62" i="41"/>
  <c r="C62" i="41"/>
  <c r="D62" i="41"/>
  <c r="E62" i="41"/>
  <c r="B63" i="41"/>
  <c r="C63" i="41"/>
  <c r="D63" i="41"/>
  <c r="E63" i="41"/>
  <c r="B64" i="41"/>
  <c r="C64" i="41"/>
  <c r="D64" i="41"/>
  <c r="E64" i="41"/>
  <c r="B65" i="41"/>
  <c r="C65" i="41"/>
  <c r="D65" i="41"/>
  <c r="E65" i="41"/>
  <c r="B66" i="41"/>
  <c r="C66" i="41"/>
  <c r="D66" i="41"/>
  <c r="E66" i="41"/>
  <c r="B67" i="41"/>
  <c r="C67" i="41"/>
  <c r="D67" i="41"/>
  <c r="E67" i="41"/>
  <c r="B68" i="41"/>
  <c r="C68" i="41"/>
  <c r="D68" i="41"/>
  <c r="E68" i="41"/>
  <c r="B69" i="41"/>
  <c r="C69" i="41"/>
  <c r="D69" i="41"/>
  <c r="E69" i="41"/>
  <c r="B70" i="41"/>
  <c r="C70" i="41"/>
  <c r="D70" i="41"/>
  <c r="E70" i="41"/>
  <c r="B71" i="41"/>
  <c r="C71" i="41"/>
  <c r="D71" i="41"/>
  <c r="E71" i="41"/>
  <c r="B72" i="41"/>
  <c r="C72" i="41"/>
  <c r="D72" i="41"/>
  <c r="E72" i="41"/>
  <c r="B73" i="41"/>
  <c r="C73" i="41"/>
  <c r="D73" i="41"/>
  <c r="E73" i="41"/>
  <c r="B74" i="41"/>
  <c r="C74" i="41"/>
  <c r="D74" i="41"/>
  <c r="E74" i="41"/>
  <c r="B75" i="41"/>
  <c r="C75" i="41"/>
  <c r="D75" i="41"/>
  <c r="E75" i="41"/>
  <c r="B76" i="41"/>
  <c r="C76" i="41"/>
  <c r="D76" i="41"/>
  <c r="E76" i="41"/>
  <c r="B77" i="41"/>
  <c r="C77" i="41"/>
  <c r="D77" i="41"/>
  <c r="E77" i="41"/>
  <c r="B78" i="41"/>
  <c r="C78" i="41"/>
  <c r="D78" i="41"/>
  <c r="E78" i="41"/>
  <c r="B79" i="41"/>
  <c r="C79" i="41"/>
  <c r="D79" i="41"/>
  <c r="E79" i="41"/>
  <c r="B80" i="41"/>
  <c r="C80" i="41"/>
  <c r="D80" i="41"/>
  <c r="E80" i="41"/>
  <c r="B81" i="41"/>
  <c r="C81" i="41"/>
  <c r="D81" i="41"/>
  <c r="E81" i="41"/>
  <c r="B82" i="41"/>
  <c r="C82" i="41"/>
  <c r="D82" i="41"/>
  <c r="E82" i="41"/>
  <c r="B83" i="41"/>
  <c r="C83" i="41"/>
  <c r="D83" i="41"/>
  <c r="E83" i="41"/>
  <c r="B84" i="41"/>
  <c r="C84" i="41"/>
  <c r="D84" i="41"/>
  <c r="E84" i="41"/>
  <c r="B85" i="41"/>
  <c r="C85" i="41"/>
  <c r="D85" i="41"/>
  <c r="E85" i="41"/>
  <c r="B86" i="41"/>
  <c r="C86" i="41"/>
  <c r="D86" i="41"/>
  <c r="E86" i="41"/>
  <c r="B87" i="41"/>
  <c r="C87" i="41"/>
  <c r="D87" i="41"/>
  <c r="E87" i="41"/>
  <c r="B88" i="41"/>
  <c r="C88" i="41"/>
  <c r="D88" i="41"/>
  <c r="E88" i="41"/>
  <c r="B89" i="41"/>
  <c r="C89" i="41"/>
  <c r="D89" i="41"/>
  <c r="E89" i="41"/>
  <c r="C58" i="41"/>
  <c r="D58" i="41"/>
  <c r="E58" i="41"/>
  <c r="B58" i="41"/>
  <c r="M12" i="46" l="1"/>
  <c r="P11" i="46"/>
  <c r="O11" i="46"/>
  <c r="N11" i="46"/>
  <c r="M11" i="46"/>
  <c r="P10" i="46"/>
  <c r="O10" i="46"/>
  <c r="N10" i="46"/>
  <c r="M10" i="46"/>
  <c r="G12" i="46"/>
  <c r="H12" i="46"/>
  <c r="E12" i="46"/>
  <c r="D12" i="46"/>
  <c r="H23" i="43" l="1"/>
  <c r="D39" i="42"/>
  <c r="E39" i="42"/>
  <c r="F39" i="42"/>
  <c r="G39" i="42"/>
  <c r="H39" i="42" s="1"/>
  <c r="I39" i="42" s="1"/>
  <c r="D40" i="42"/>
  <c r="E40" i="42"/>
  <c r="F40" i="42"/>
  <c r="G40" i="42"/>
  <c r="H40" i="42" s="1"/>
  <c r="I40" i="42" s="1"/>
  <c r="D41" i="42"/>
  <c r="E41" i="42"/>
  <c r="F41" i="42"/>
  <c r="G41" i="42"/>
  <c r="H41" i="42" s="1"/>
  <c r="I41" i="42" s="1"/>
  <c r="D42" i="42"/>
  <c r="E42" i="42"/>
  <c r="F42" i="42"/>
  <c r="G42" i="42"/>
  <c r="H42" i="42" s="1"/>
  <c r="I42" i="42" s="1"/>
  <c r="C41" i="42"/>
  <c r="C42" i="42"/>
  <c r="C39" i="42"/>
  <c r="E2" i="40" l="1"/>
  <c r="E1" i="40"/>
  <c r="A13" i="58"/>
  <c r="A14" i="58"/>
  <c r="A15" i="58"/>
  <c r="A16" i="58"/>
  <c r="A17" i="58"/>
  <c r="A18" i="58"/>
  <c r="A19" i="58"/>
  <c r="A20" i="58"/>
  <c r="A21" i="58"/>
  <c r="A22" i="58"/>
  <c r="A23" i="58"/>
  <c r="A24" i="58"/>
  <c r="A25" i="58"/>
  <c r="A26" i="58"/>
  <c r="A27" i="58"/>
  <c r="A28" i="58"/>
  <c r="A29" i="58"/>
  <c r="A30" i="58"/>
  <c r="A31" i="58"/>
  <c r="A32" i="58"/>
  <c r="A33" i="58"/>
  <c r="A34" i="58"/>
  <c r="A35" i="58"/>
  <c r="A36" i="58"/>
  <c r="A37" i="58"/>
  <c r="A38" i="58"/>
  <c r="A39" i="58"/>
  <c r="A40" i="58"/>
  <c r="A41" i="58"/>
  <c r="A42" i="58"/>
  <c r="A43" i="58"/>
  <c r="A44" i="58"/>
  <c r="A45" i="58"/>
  <c r="A46" i="58"/>
  <c r="A47" i="58"/>
  <c r="A48" i="58"/>
  <c r="A49" i="58"/>
  <c r="A50" i="58"/>
  <c r="A51" i="58"/>
  <c r="A52" i="58"/>
  <c r="A53" i="58"/>
  <c r="A54" i="58"/>
  <c r="A59" i="58"/>
  <c r="A60" i="58"/>
  <c r="A55" i="58"/>
  <c r="A56" i="58"/>
  <c r="A57" i="58"/>
  <c r="A80" i="58"/>
  <c r="A77" i="58"/>
  <c r="A73" i="58"/>
  <c r="A76" i="58"/>
  <c r="A61" i="58"/>
  <c r="A75" i="58"/>
  <c r="A83" i="58"/>
  <c r="A87" i="58"/>
  <c r="A82" i="58"/>
  <c r="A89" i="58"/>
  <c r="A64" i="58"/>
  <c r="A68" i="58"/>
  <c r="A71" i="58"/>
  <c r="A88" i="58"/>
  <c r="A85" i="58"/>
  <c r="A84" i="58"/>
  <c r="A86" i="58"/>
  <c r="A70" i="58"/>
  <c r="A72" i="58"/>
  <c r="A81" i="58"/>
  <c r="A90" i="58"/>
  <c r="A66" i="58"/>
  <c r="A58" i="58"/>
  <c r="A63" i="58"/>
  <c r="A67" i="58"/>
  <c r="A74" i="58"/>
  <c r="A65" i="58"/>
  <c r="A62" i="58"/>
  <c r="A78" i="58"/>
  <c r="A69" i="58"/>
  <c r="A79" i="58"/>
  <c r="A91" i="58"/>
  <c r="B13" i="58"/>
  <c r="C13" i="58"/>
  <c r="D13" i="58"/>
  <c r="E13" i="58"/>
  <c r="F13" i="58"/>
  <c r="G13" i="58"/>
  <c r="B14" i="58"/>
  <c r="C14" i="58"/>
  <c r="D14" i="58"/>
  <c r="E14" i="58"/>
  <c r="F14" i="58"/>
  <c r="G14" i="58"/>
  <c r="B15" i="58"/>
  <c r="C15" i="58"/>
  <c r="D15" i="58"/>
  <c r="E15" i="58"/>
  <c r="F15" i="58"/>
  <c r="G15" i="58"/>
  <c r="B16" i="58"/>
  <c r="C16" i="58"/>
  <c r="D16" i="58"/>
  <c r="E16" i="58"/>
  <c r="F16" i="58"/>
  <c r="G16" i="58"/>
  <c r="B17" i="58"/>
  <c r="C17" i="58"/>
  <c r="D17" i="58"/>
  <c r="E17" i="58"/>
  <c r="F17" i="58"/>
  <c r="G17" i="58"/>
  <c r="B18" i="58"/>
  <c r="C18" i="58"/>
  <c r="D18" i="58"/>
  <c r="E18" i="58"/>
  <c r="F18" i="58"/>
  <c r="G18" i="58"/>
  <c r="B19" i="58"/>
  <c r="C19" i="58"/>
  <c r="D19" i="58"/>
  <c r="E19" i="58"/>
  <c r="F19" i="58"/>
  <c r="G19" i="58"/>
  <c r="B20" i="58"/>
  <c r="C20" i="58"/>
  <c r="D20" i="58"/>
  <c r="E20" i="58"/>
  <c r="F20" i="58"/>
  <c r="G20" i="58"/>
  <c r="B21" i="58"/>
  <c r="C21" i="58"/>
  <c r="D21" i="58"/>
  <c r="E21" i="58"/>
  <c r="F21" i="58"/>
  <c r="G21" i="58"/>
  <c r="B22" i="58"/>
  <c r="C22" i="58"/>
  <c r="D22" i="58"/>
  <c r="E22" i="58"/>
  <c r="F22" i="58"/>
  <c r="G22" i="58"/>
  <c r="B23" i="58"/>
  <c r="C23" i="58"/>
  <c r="D23" i="58"/>
  <c r="E23" i="58"/>
  <c r="F23" i="58"/>
  <c r="G23" i="58"/>
  <c r="B24" i="58"/>
  <c r="C24" i="58"/>
  <c r="D24" i="58"/>
  <c r="E24" i="58"/>
  <c r="F24" i="58"/>
  <c r="G24" i="58"/>
  <c r="B25" i="58"/>
  <c r="C25" i="58"/>
  <c r="D25" i="58"/>
  <c r="E25" i="58"/>
  <c r="F25" i="58"/>
  <c r="G25" i="58"/>
  <c r="B26" i="58"/>
  <c r="C26" i="58"/>
  <c r="D26" i="58"/>
  <c r="E26" i="58"/>
  <c r="F26" i="58"/>
  <c r="G26" i="58"/>
  <c r="B27" i="58"/>
  <c r="C27" i="58"/>
  <c r="D27" i="58"/>
  <c r="E27" i="58"/>
  <c r="F27" i="58"/>
  <c r="G27" i="58"/>
  <c r="B28" i="58"/>
  <c r="C28" i="58"/>
  <c r="D28" i="58"/>
  <c r="E28" i="58"/>
  <c r="F28" i="58"/>
  <c r="G28" i="58"/>
  <c r="B29" i="58"/>
  <c r="C29" i="58"/>
  <c r="D29" i="58"/>
  <c r="E29" i="58"/>
  <c r="F29" i="58"/>
  <c r="G29" i="58"/>
  <c r="B30" i="58"/>
  <c r="C30" i="58"/>
  <c r="D30" i="58"/>
  <c r="E30" i="58"/>
  <c r="F30" i="58"/>
  <c r="G30" i="58"/>
  <c r="B31" i="58"/>
  <c r="C31" i="58"/>
  <c r="D31" i="58"/>
  <c r="E31" i="58"/>
  <c r="F31" i="58"/>
  <c r="G31" i="58"/>
  <c r="B32" i="58"/>
  <c r="C32" i="58"/>
  <c r="D32" i="58"/>
  <c r="E32" i="58"/>
  <c r="F32" i="58"/>
  <c r="G32" i="58"/>
  <c r="B33" i="58"/>
  <c r="C33" i="58"/>
  <c r="D33" i="58"/>
  <c r="E33" i="58"/>
  <c r="F33" i="58"/>
  <c r="G33" i="58"/>
  <c r="B34" i="58"/>
  <c r="C34" i="58"/>
  <c r="D34" i="58"/>
  <c r="E34" i="58"/>
  <c r="F34" i="58"/>
  <c r="G34" i="58"/>
  <c r="B35" i="58"/>
  <c r="C35" i="58"/>
  <c r="D35" i="58"/>
  <c r="E35" i="58"/>
  <c r="F35" i="58"/>
  <c r="G35" i="58"/>
  <c r="B36" i="58"/>
  <c r="C36" i="58"/>
  <c r="D36" i="58"/>
  <c r="E36" i="58"/>
  <c r="F36" i="58"/>
  <c r="G36" i="58"/>
  <c r="B37" i="58"/>
  <c r="C37" i="58"/>
  <c r="D37" i="58"/>
  <c r="E37" i="58"/>
  <c r="F37" i="58"/>
  <c r="G37" i="58"/>
  <c r="B38" i="58"/>
  <c r="C38" i="58"/>
  <c r="D38" i="58"/>
  <c r="E38" i="58"/>
  <c r="F38" i="58"/>
  <c r="G38" i="58"/>
  <c r="B39" i="58"/>
  <c r="C39" i="58"/>
  <c r="D39" i="58"/>
  <c r="E39" i="58"/>
  <c r="F39" i="58"/>
  <c r="G39" i="58"/>
  <c r="B40" i="58"/>
  <c r="C40" i="58"/>
  <c r="D40" i="58"/>
  <c r="E40" i="58"/>
  <c r="F40" i="58"/>
  <c r="G40" i="58"/>
  <c r="B41" i="58"/>
  <c r="C41" i="58"/>
  <c r="D41" i="58"/>
  <c r="E41" i="58"/>
  <c r="F41" i="58"/>
  <c r="G41" i="58"/>
  <c r="B42" i="58"/>
  <c r="C42" i="58"/>
  <c r="D42" i="58"/>
  <c r="E42" i="58"/>
  <c r="F42" i="58"/>
  <c r="G42" i="58"/>
  <c r="B43" i="58"/>
  <c r="C43" i="58"/>
  <c r="D43" i="58"/>
  <c r="E43" i="58"/>
  <c r="F43" i="58"/>
  <c r="G43" i="58"/>
  <c r="B44" i="58"/>
  <c r="C44" i="58"/>
  <c r="D44" i="58"/>
  <c r="E44" i="58"/>
  <c r="F44" i="58"/>
  <c r="G44" i="58"/>
  <c r="B45" i="58"/>
  <c r="C45" i="58"/>
  <c r="D45" i="58"/>
  <c r="E45" i="58"/>
  <c r="F45" i="58"/>
  <c r="G45" i="58"/>
  <c r="B46" i="58"/>
  <c r="C46" i="58"/>
  <c r="D46" i="58"/>
  <c r="E46" i="58"/>
  <c r="F46" i="58"/>
  <c r="G46" i="58"/>
  <c r="B47" i="58"/>
  <c r="C47" i="58"/>
  <c r="D47" i="58"/>
  <c r="E47" i="58"/>
  <c r="F47" i="58"/>
  <c r="G47" i="58"/>
  <c r="B48" i="58"/>
  <c r="C48" i="58"/>
  <c r="D48" i="58"/>
  <c r="E48" i="58"/>
  <c r="F48" i="58"/>
  <c r="G48" i="58"/>
  <c r="B49" i="58"/>
  <c r="C49" i="58"/>
  <c r="D49" i="58"/>
  <c r="E49" i="58"/>
  <c r="F49" i="58"/>
  <c r="G49" i="58"/>
  <c r="B50" i="58"/>
  <c r="C50" i="58"/>
  <c r="D50" i="58"/>
  <c r="E50" i="58"/>
  <c r="F50" i="58"/>
  <c r="G50" i="58"/>
  <c r="B51" i="58"/>
  <c r="C51" i="58"/>
  <c r="D51" i="58"/>
  <c r="E51" i="58"/>
  <c r="F51" i="58"/>
  <c r="G51" i="58"/>
  <c r="B52" i="58"/>
  <c r="C52" i="58"/>
  <c r="D52" i="58"/>
  <c r="E52" i="58"/>
  <c r="F52" i="58"/>
  <c r="G52" i="58"/>
  <c r="B53" i="58"/>
  <c r="C53" i="58"/>
  <c r="D53" i="58"/>
  <c r="E53" i="58"/>
  <c r="F53" i="58"/>
  <c r="G53" i="58"/>
  <c r="B54" i="58"/>
  <c r="C54" i="58"/>
  <c r="D54" i="58"/>
  <c r="E54" i="58"/>
  <c r="F54" i="58"/>
  <c r="G54" i="58"/>
  <c r="B59" i="58"/>
  <c r="C59" i="58"/>
  <c r="D59" i="58"/>
  <c r="E59" i="58"/>
  <c r="B60" i="58"/>
  <c r="C60" i="58"/>
  <c r="D60" i="58"/>
  <c r="E60" i="58"/>
  <c r="B55" i="58"/>
  <c r="C55" i="58"/>
  <c r="D55" i="58"/>
  <c r="E55" i="58"/>
  <c r="B56" i="58"/>
  <c r="C56" i="58"/>
  <c r="D56" i="58"/>
  <c r="E56" i="58"/>
  <c r="B57" i="58"/>
  <c r="C57" i="58"/>
  <c r="D57" i="58"/>
  <c r="E57" i="58"/>
  <c r="B80" i="58"/>
  <c r="C80" i="58"/>
  <c r="D80" i="58"/>
  <c r="E80" i="58"/>
  <c r="B77" i="58"/>
  <c r="C77" i="58"/>
  <c r="D77" i="58"/>
  <c r="E77" i="58"/>
  <c r="B73" i="58"/>
  <c r="C73" i="58"/>
  <c r="D73" i="58"/>
  <c r="E73" i="58"/>
  <c r="B76" i="58"/>
  <c r="C76" i="58"/>
  <c r="D76" i="58"/>
  <c r="E76" i="58"/>
  <c r="B61" i="58"/>
  <c r="C61" i="58"/>
  <c r="D61" i="58"/>
  <c r="E61" i="58"/>
  <c r="B75" i="58"/>
  <c r="C75" i="58"/>
  <c r="D75" i="58"/>
  <c r="E75" i="58"/>
  <c r="B83" i="58"/>
  <c r="C83" i="58"/>
  <c r="D83" i="58"/>
  <c r="E83" i="58"/>
  <c r="B87" i="58"/>
  <c r="C87" i="58"/>
  <c r="D87" i="58"/>
  <c r="E87" i="58"/>
  <c r="B82" i="58"/>
  <c r="C82" i="58"/>
  <c r="D82" i="58"/>
  <c r="E82" i="58"/>
  <c r="B89" i="58"/>
  <c r="C89" i="58"/>
  <c r="D89" i="58"/>
  <c r="E89" i="58"/>
  <c r="B64" i="58"/>
  <c r="C64" i="58"/>
  <c r="D64" i="58"/>
  <c r="E64" i="58"/>
  <c r="B68" i="58"/>
  <c r="C68" i="58"/>
  <c r="D68" i="58"/>
  <c r="E68" i="58"/>
  <c r="B71" i="58"/>
  <c r="C71" i="58"/>
  <c r="D71" i="58"/>
  <c r="E71" i="58"/>
  <c r="B88" i="58"/>
  <c r="C88" i="58"/>
  <c r="D88" i="58"/>
  <c r="E88" i="58"/>
  <c r="B85" i="58"/>
  <c r="C85" i="58"/>
  <c r="D85" i="58"/>
  <c r="E85" i="58"/>
  <c r="B84" i="58"/>
  <c r="C84" i="58"/>
  <c r="D84" i="58"/>
  <c r="E84" i="58"/>
  <c r="B86" i="58"/>
  <c r="C86" i="58"/>
  <c r="D86" i="58"/>
  <c r="E86" i="58"/>
  <c r="B70" i="58"/>
  <c r="C70" i="58"/>
  <c r="D70" i="58"/>
  <c r="E70" i="58"/>
  <c r="B72" i="58"/>
  <c r="C72" i="58"/>
  <c r="D72" i="58"/>
  <c r="E72" i="58"/>
  <c r="B81" i="58"/>
  <c r="C81" i="58"/>
  <c r="D81" i="58"/>
  <c r="E81" i="58"/>
  <c r="B90" i="58"/>
  <c r="C90" i="58"/>
  <c r="D90" i="58"/>
  <c r="E90" i="58"/>
  <c r="B66" i="58"/>
  <c r="C66" i="58"/>
  <c r="D66" i="58"/>
  <c r="E66" i="58"/>
  <c r="B58" i="58"/>
  <c r="C58" i="58"/>
  <c r="D58" i="58"/>
  <c r="E58" i="58"/>
  <c r="B63" i="58"/>
  <c r="C63" i="58"/>
  <c r="D63" i="58"/>
  <c r="E63" i="58"/>
  <c r="B67" i="58"/>
  <c r="C67" i="58"/>
  <c r="D67" i="58"/>
  <c r="E67" i="58"/>
  <c r="B74" i="58"/>
  <c r="C74" i="58"/>
  <c r="D74" i="58"/>
  <c r="E74" i="58"/>
  <c r="B65" i="58"/>
  <c r="C65" i="58"/>
  <c r="D65" i="58"/>
  <c r="E65" i="58"/>
  <c r="B62" i="58"/>
  <c r="C62" i="58"/>
  <c r="D62" i="58"/>
  <c r="E62" i="58"/>
  <c r="B78" i="58"/>
  <c r="C78" i="58"/>
  <c r="D78" i="58"/>
  <c r="E78" i="58"/>
  <c r="B69" i="58"/>
  <c r="C69" i="58"/>
  <c r="D69" i="58"/>
  <c r="E69" i="58"/>
  <c r="B79" i="58"/>
  <c r="C79" i="58"/>
  <c r="D79" i="58"/>
  <c r="E79" i="58"/>
  <c r="G12" i="58"/>
  <c r="F12" i="58"/>
  <c r="B12" i="58"/>
  <c r="C12" i="58"/>
  <c r="D12" i="58"/>
  <c r="E12" i="58"/>
  <c r="A12" i="58"/>
  <c r="R93" i="58"/>
  <c r="J49" i="40" l="1"/>
  <c r="H18" i="58" l="1"/>
  <c r="H17" i="58"/>
  <c r="H43" i="58"/>
  <c r="H32" i="58"/>
  <c r="H50" i="58"/>
  <c r="U91" i="58"/>
  <c r="H52" i="58"/>
  <c r="H49" i="58"/>
  <c r="H39" i="58"/>
  <c r="H31" i="58"/>
  <c r="H14" i="58"/>
  <c r="H48" i="58"/>
  <c r="H45" i="58"/>
  <c r="H30" i="58"/>
  <c r="H40" i="58"/>
  <c r="H29" i="58"/>
  <c r="H16" i="58"/>
  <c r="H46" i="58"/>
  <c r="H13" i="58"/>
  <c r="H42" i="58"/>
  <c r="H41" i="58"/>
  <c r="H28" i="58"/>
  <c r="H27" i="58"/>
  <c r="H47" i="58"/>
  <c r="H53" i="58"/>
  <c r="H26" i="58"/>
  <c r="H15" i="58"/>
  <c r="H54" i="58"/>
  <c r="H25" i="58"/>
  <c r="H24" i="58"/>
  <c r="H44" i="58"/>
  <c r="H38" i="58"/>
  <c r="H23" i="58"/>
  <c r="H51" i="58"/>
  <c r="H12" i="58"/>
  <c r="H37" i="58"/>
  <c r="H36" i="58"/>
  <c r="H22" i="58"/>
  <c r="H34" i="58"/>
  <c r="H21" i="58"/>
  <c r="H33" i="58"/>
  <c r="H35" i="58"/>
  <c r="H20" i="58"/>
  <c r="H19" i="58"/>
  <c r="B10" i="57" l="1"/>
  <c r="C7" i="57"/>
  <c r="B7" i="57"/>
  <c r="C6" i="57"/>
  <c r="B6" i="57"/>
  <c r="C4" i="57"/>
  <c r="C3" i="57"/>
  <c r="B5" i="57"/>
  <c r="B4" i="57"/>
  <c r="B3" i="57"/>
  <c r="E4" i="56"/>
  <c r="F4" i="56"/>
  <c r="G4" i="56"/>
  <c r="H4" i="56"/>
  <c r="I4" i="56"/>
  <c r="J4" i="56"/>
  <c r="E5" i="56"/>
  <c r="N5" i="56" s="1"/>
  <c r="F5" i="56"/>
  <c r="G5" i="56"/>
  <c r="H5" i="56" s="1"/>
  <c r="I5" i="56"/>
  <c r="J5" i="56" s="1"/>
  <c r="E6" i="56"/>
  <c r="N6" i="56" s="1"/>
  <c r="F6" i="56"/>
  <c r="G6" i="56"/>
  <c r="H6" i="56"/>
  <c r="I6" i="56"/>
  <c r="J6" i="56" s="1"/>
  <c r="E7" i="56"/>
  <c r="N7" i="56" s="1"/>
  <c r="F7" i="56"/>
  <c r="G7" i="56"/>
  <c r="H7" i="56" s="1"/>
  <c r="I7" i="56"/>
  <c r="J7" i="56" s="1"/>
  <c r="E8" i="56"/>
  <c r="N8" i="56" s="1"/>
  <c r="F8" i="56"/>
  <c r="G8" i="56"/>
  <c r="H8" i="56" s="1"/>
  <c r="I8" i="56"/>
  <c r="J8" i="56" s="1"/>
  <c r="E9" i="56"/>
  <c r="N9" i="56" s="1"/>
  <c r="F9" i="56"/>
  <c r="G9" i="56"/>
  <c r="H9" i="56" s="1"/>
  <c r="I9" i="56"/>
  <c r="J9" i="56"/>
  <c r="E10" i="56"/>
  <c r="N10" i="56" s="1"/>
  <c r="F10" i="56"/>
  <c r="G10" i="56"/>
  <c r="H10" i="56" s="1"/>
  <c r="I10" i="56"/>
  <c r="J10" i="56" s="1"/>
  <c r="E11" i="56"/>
  <c r="N11" i="56" s="1"/>
  <c r="F11" i="56"/>
  <c r="G11" i="56"/>
  <c r="H11" i="56" s="1"/>
  <c r="I11" i="56"/>
  <c r="J11" i="56" s="1"/>
  <c r="E12" i="56"/>
  <c r="F12" i="56"/>
  <c r="G12" i="56"/>
  <c r="H12" i="56" s="1"/>
  <c r="I12" i="56"/>
  <c r="J12" i="56" s="1"/>
  <c r="E13" i="56"/>
  <c r="N13" i="56" s="1"/>
  <c r="F13" i="56"/>
  <c r="G13" i="56"/>
  <c r="H13" i="56" s="1"/>
  <c r="I13" i="56"/>
  <c r="J13" i="56" s="1"/>
  <c r="E14" i="56"/>
  <c r="F14" i="56"/>
  <c r="G14" i="56"/>
  <c r="H14" i="56" s="1"/>
  <c r="I14" i="56"/>
  <c r="J14" i="56"/>
  <c r="E15" i="56"/>
  <c r="N15" i="56" s="1"/>
  <c r="F15" i="56"/>
  <c r="G15" i="56"/>
  <c r="H15" i="56" s="1"/>
  <c r="I15" i="56"/>
  <c r="J15" i="56" s="1"/>
  <c r="E16" i="56"/>
  <c r="N16" i="56" s="1"/>
  <c r="F16" i="56"/>
  <c r="G16" i="56"/>
  <c r="H16" i="56" s="1"/>
  <c r="I16" i="56"/>
  <c r="J16" i="56" s="1"/>
  <c r="E17" i="56"/>
  <c r="N17" i="56" s="1"/>
  <c r="F17" i="56"/>
  <c r="G17" i="56"/>
  <c r="H17" i="56" s="1"/>
  <c r="I17" i="56"/>
  <c r="J17" i="56" s="1"/>
  <c r="E18" i="56"/>
  <c r="N18" i="56" s="1"/>
  <c r="F18" i="56"/>
  <c r="G18" i="56"/>
  <c r="H18" i="56" s="1"/>
  <c r="I18" i="56"/>
  <c r="J18" i="56" s="1"/>
  <c r="E19" i="56"/>
  <c r="N19" i="56" s="1"/>
  <c r="F19" i="56"/>
  <c r="G19" i="56"/>
  <c r="H19" i="56" s="1"/>
  <c r="I19" i="56"/>
  <c r="J19" i="56" s="1"/>
  <c r="E20" i="56"/>
  <c r="N20" i="56" s="1"/>
  <c r="F20" i="56"/>
  <c r="G20" i="56"/>
  <c r="H20" i="56" s="1"/>
  <c r="I20" i="56"/>
  <c r="J20" i="56"/>
  <c r="E21" i="56"/>
  <c r="N21" i="56" s="1"/>
  <c r="F21" i="56"/>
  <c r="G21" i="56"/>
  <c r="H21" i="56" s="1"/>
  <c r="I21" i="56"/>
  <c r="J21" i="56" s="1"/>
  <c r="E22" i="56"/>
  <c r="N22" i="56" s="1"/>
  <c r="F22" i="56"/>
  <c r="G22" i="56"/>
  <c r="H22" i="56" s="1"/>
  <c r="I22" i="56"/>
  <c r="J22" i="56" s="1"/>
  <c r="E23" i="56"/>
  <c r="N23" i="56" s="1"/>
  <c r="F23" i="56"/>
  <c r="G23" i="56"/>
  <c r="H23" i="56" s="1"/>
  <c r="I23" i="56"/>
  <c r="J23" i="56" s="1"/>
  <c r="E24" i="56"/>
  <c r="N24" i="56" s="1"/>
  <c r="F24" i="56"/>
  <c r="G24" i="56"/>
  <c r="H24" i="56" s="1"/>
  <c r="I24" i="56"/>
  <c r="J24" i="56" s="1"/>
  <c r="E25" i="56"/>
  <c r="N25" i="56" s="1"/>
  <c r="F25" i="56"/>
  <c r="G25" i="56"/>
  <c r="H25" i="56" s="1"/>
  <c r="I25" i="56"/>
  <c r="J25" i="56" s="1"/>
  <c r="E26" i="56"/>
  <c r="N26" i="56" s="1"/>
  <c r="F26" i="56"/>
  <c r="G26" i="56"/>
  <c r="H26" i="56" s="1"/>
  <c r="I26" i="56"/>
  <c r="J26" i="56" s="1"/>
  <c r="E27" i="56"/>
  <c r="N27" i="56" s="1"/>
  <c r="F27" i="56"/>
  <c r="G27" i="56"/>
  <c r="H27" i="56" s="1"/>
  <c r="I27" i="56"/>
  <c r="J27" i="56" s="1"/>
  <c r="E28" i="56"/>
  <c r="N28" i="56" s="1"/>
  <c r="F28" i="56"/>
  <c r="G28" i="56"/>
  <c r="H28" i="56"/>
  <c r="I28" i="56"/>
  <c r="J28" i="56" s="1"/>
  <c r="E29" i="56"/>
  <c r="N29" i="56" s="1"/>
  <c r="F29" i="56"/>
  <c r="G29" i="56"/>
  <c r="H29" i="56" s="1"/>
  <c r="I29" i="56"/>
  <c r="J29" i="56" s="1"/>
  <c r="E30" i="56"/>
  <c r="N30" i="56" s="1"/>
  <c r="F30" i="56"/>
  <c r="G30" i="56"/>
  <c r="H30" i="56" s="1"/>
  <c r="I30" i="56"/>
  <c r="J30" i="56" s="1"/>
  <c r="E31" i="56"/>
  <c r="N31" i="56" s="1"/>
  <c r="F31" i="56"/>
  <c r="G31" i="56"/>
  <c r="H31" i="56" s="1"/>
  <c r="I31" i="56"/>
  <c r="J31" i="56" s="1"/>
  <c r="E32" i="56"/>
  <c r="N32" i="56" s="1"/>
  <c r="F32" i="56"/>
  <c r="G32" i="56"/>
  <c r="H32" i="56" s="1"/>
  <c r="I32" i="56"/>
  <c r="J32" i="56" s="1"/>
  <c r="E33" i="56"/>
  <c r="N33" i="56" s="1"/>
  <c r="F33" i="56"/>
  <c r="G33" i="56"/>
  <c r="H33" i="56" s="1"/>
  <c r="I33" i="56"/>
  <c r="J33" i="56" s="1"/>
  <c r="E34" i="56"/>
  <c r="N34" i="56" s="1"/>
  <c r="F34" i="56"/>
  <c r="G34" i="56"/>
  <c r="H34" i="56" s="1"/>
  <c r="I34" i="56"/>
  <c r="J34" i="56" s="1"/>
  <c r="E35" i="56"/>
  <c r="F35" i="56"/>
  <c r="G35" i="56"/>
  <c r="H35" i="56" s="1"/>
  <c r="I35" i="56"/>
  <c r="J35" i="56" s="1"/>
  <c r="E36" i="56"/>
  <c r="N36" i="56" s="1"/>
  <c r="F36" i="56"/>
  <c r="G36" i="56"/>
  <c r="H36" i="56" s="1"/>
  <c r="I36" i="56"/>
  <c r="J36" i="56" s="1"/>
  <c r="E37" i="56"/>
  <c r="N37" i="56" s="1"/>
  <c r="F37" i="56"/>
  <c r="G37" i="56"/>
  <c r="H37" i="56" s="1"/>
  <c r="I37" i="56"/>
  <c r="J37" i="56" s="1"/>
  <c r="E38" i="56"/>
  <c r="N38" i="56" s="1"/>
  <c r="F38" i="56"/>
  <c r="G38" i="56"/>
  <c r="H38" i="56" s="1"/>
  <c r="I38" i="56"/>
  <c r="J38" i="56" s="1"/>
  <c r="E39" i="56"/>
  <c r="N39" i="56" s="1"/>
  <c r="F39" i="56"/>
  <c r="G39" i="56"/>
  <c r="H39" i="56" s="1"/>
  <c r="I39" i="56"/>
  <c r="J39" i="56" s="1"/>
  <c r="E40" i="56"/>
  <c r="N40" i="56" s="1"/>
  <c r="F40" i="56"/>
  <c r="G40" i="56"/>
  <c r="H40" i="56" s="1"/>
  <c r="I40" i="56"/>
  <c r="J40" i="56"/>
  <c r="E41" i="56"/>
  <c r="F41" i="56"/>
  <c r="G41" i="56"/>
  <c r="H41" i="56" s="1"/>
  <c r="I41" i="56"/>
  <c r="J41" i="56" s="1"/>
  <c r="E42" i="56"/>
  <c r="N42" i="56" s="1"/>
  <c r="F42" i="56"/>
  <c r="G42" i="56"/>
  <c r="H42" i="56" s="1"/>
  <c r="I42" i="56"/>
  <c r="J42" i="56" s="1"/>
  <c r="E43" i="56"/>
  <c r="N43" i="56" s="1"/>
  <c r="F43" i="56"/>
  <c r="G43" i="56"/>
  <c r="H43" i="56" s="1"/>
  <c r="I43" i="56"/>
  <c r="J43" i="56" s="1"/>
  <c r="E44" i="56"/>
  <c r="N44" i="56" s="1"/>
  <c r="F44" i="56"/>
  <c r="G44" i="56"/>
  <c r="H44" i="56"/>
  <c r="I44" i="56"/>
  <c r="J44" i="56" s="1"/>
  <c r="E45" i="56"/>
  <c r="N45" i="56" s="1"/>
  <c r="F45" i="56"/>
  <c r="G45" i="56"/>
  <c r="H45" i="56" s="1"/>
  <c r="I45" i="56"/>
  <c r="J45" i="56" s="1"/>
  <c r="E46" i="56"/>
  <c r="N46" i="56" s="1"/>
  <c r="F46" i="56"/>
  <c r="G46" i="56"/>
  <c r="H46" i="56" s="1"/>
  <c r="I46" i="56"/>
  <c r="J46" i="56" s="1"/>
  <c r="E47" i="56"/>
  <c r="N47" i="56" s="1"/>
  <c r="F47" i="56"/>
  <c r="G47" i="56"/>
  <c r="H47" i="56" s="1"/>
  <c r="I47" i="56"/>
  <c r="J47" i="56" s="1"/>
  <c r="E48" i="56"/>
  <c r="N48" i="56" s="1"/>
  <c r="F48" i="56"/>
  <c r="G48" i="56"/>
  <c r="H48" i="56" s="1"/>
  <c r="I48" i="56"/>
  <c r="J48" i="56" s="1"/>
  <c r="E49" i="56"/>
  <c r="N49" i="56" s="1"/>
  <c r="F49" i="56"/>
  <c r="G49" i="56"/>
  <c r="H49" i="56" s="1"/>
  <c r="I49" i="56"/>
  <c r="J49" i="56" s="1"/>
  <c r="E50" i="56"/>
  <c r="N50" i="56" s="1"/>
  <c r="F50" i="56"/>
  <c r="G50" i="56"/>
  <c r="H50" i="56" s="1"/>
  <c r="I50" i="56"/>
  <c r="J50" i="56" s="1"/>
  <c r="E51" i="56"/>
  <c r="F51" i="56"/>
  <c r="G51" i="56"/>
  <c r="H51" i="56" s="1"/>
  <c r="I51" i="56"/>
  <c r="J51" i="56" s="1"/>
  <c r="E52" i="56"/>
  <c r="F52" i="56"/>
  <c r="G52" i="56"/>
  <c r="H52" i="56" s="1"/>
  <c r="I52" i="56"/>
  <c r="J52" i="56"/>
  <c r="E53" i="56"/>
  <c r="N53" i="56" s="1"/>
  <c r="F53" i="56"/>
  <c r="G53" i="56"/>
  <c r="H53" i="56" s="1"/>
  <c r="I53" i="56"/>
  <c r="J53" i="56" s="1"/>
  <c r="E54" i="56"/>
  <c r="F54" i="56"/>
  <c r="G54" i="56"/>
  <c r="H54" i="56" s="1"/>
  <c r="I54" i="56"/>
  <c r="J54" i="56" s="1"/>
  <c r="E55" i="56"/>
  <c r="N55" i="56" s="1"/>
  <c r="F55" i="56"/>
  <c r="G55" i="56"/>
  <c r="H55" i="56" s="1"/>
  <c r="I55" i="56"/>
  <c r="J55" i="56" s="1"/>
  <c r="E56" i="56"/>
  <c r="N56" i="56" s="1"/>
  <c r="F56" i="56"/>
  <c r="G56" i="56"/>
  <c r="H56" i="56" s="1"/>
  <c r="I56" i="56"/>
  <c r="J56" i="56" s="1"/>
  <c r="E57" i="56"/>
  <c r="N57" i="56" s="1"/>
  <c r="F57" i="56"/>
  <c r="G57" i="56"/>
  <c r="H57" i="56" s="1"/>
  <c r="I57" i="56"/>
  <c r="J57" i="56"/>
  <c r="E58" i="56"/>
  <c r="N58" i="56" s="1"/>
  <c r="F58" i="56"/>
  <c r="G58" i="56"/>
  <c r="H58" i="56" s="1"/>
  <c r="I58" i="56"/>
  <c r="J58" i="56" s="1"/>
  <c r="E59" i="56"/>
  <c r="N59" i="56" s="1"/>
  <c r="F59" i="56"/>
  <c r="G59" i="56"/>
  <c r="H59" i="56" s="1"/>
  <c r="I59" i="56"/>
  <c r="J59" i="56" s="1"/>
  <c r="E60" i="56"/>
  <c r="N60" i="56" s="1"/>
  <c r="F60" i="56"/>
  <c r="G60" i="56"/>
  <c r="H60" i="56" s="1"/>
  <c r="I60" i="56"/>
  <c r="J60" i="56" s="1"/>
  <c r="E61" i="56"/>
  <c r="N61" i="56" s="1"/>
  <c r="F61" i="56"/>
  <c r="G61" i="56"/>
  <c r="H61" i="56" s="1"/>
  <c r="I61" i="56"/>
  <c r="J61" i="56" s="1"/>
  <c r="E62" i="56"/>
  <c r="N62" i="56" s="1"/>
  <c r="F62" i="56"/>
  <c r="G62" i="56"/>
  <c r="H62" i="56" s="1"/>
  <c r="I62" i="56"/>
  <c r="J62" i="56" s="1"/>
  <c r="E63" i="56"/>
  <c r="F63" i="56"/>
  <c r="G63" i="56"/>
  <c r="H63" i="56" s="1"/>
  <c r="I63" i="56"/>
  <c r="J63" i="56" s="1"/>
  <c r="E64" i="56"/>
  <c r="N64" i="56" s="1"/>
  <c r="F64" i="56"/>
  <c r="G64" i="56"/>
  <c r="H64" i="56" s="1"/>
  <c r="I64" i="56"/>
  <c r="J64" i="56" s="1"/>
  <c r="E65" i="56"/>
  <c r="F65" i="56"/>
  <c r="G65" i="56"/>
  <c r="H65" i="56" s="1"/>
  <c r="I65" i="56"/>
  <c r="J65" i="56"/>
  <c r="E66" i="56"/>
  <c r="N66" i="56" s="1"/>
  <c r="F66" i="56"/>
  <c r="G66" i="56"/>
  <c r="H66" i="56" s="1"/>
  <c r="I66" i="56"/>
  <c r="J66" i="56" s="1"/>
  <c r="E67" i="56"/>
  <c r="N67" i="56" s="1"/>
  <c r="F67" i="56"/>
  <c r="G67" i="56"/>
  <c r="H67" i="56" s="1"/>
  <c r="I67" i="56"/>
  <c r="J67" i="56" s="1"/>
  <c r="E68" i="56"/>
  <c r="N68" i="56" s="1"/>
  <c r="F68" i="56"/>
  <c r="G68" i="56"/>
  <c r="H68" i="56" s="1"/>
  <c r="I68" i="56"/>
  <c r="J68" i="56"/>
  <c r="E69" i="56"/>
  <c r="N69" i="56" s="1"/>
  <c r="F69" i="56"/>
  <c r="G69" i="56"/>
  <c r="H69" i="56" s="1"/>
  <c r="I69" i="56"/>
  <c r="J69" i="56" s="1"/>
  <c r="E70" i="56"/>
  <c r="N70" i="56" s="1"/>
  <c r="F70" i="56"/>
  <c r="G70" i="56"/>
  <c r="H70" i="56" s="1"/>
  <c r="I70" i="56"/>
  <c r="J70" i="56"/>
  <c r="E71" i="56"/>
  <c r="F71" i="56"/>
  <c r="G71" i="56"/>
  <c r="H71" i="56" s="1"/>
  <c r="I71" i="56"/>
  <c r="J71" i="56" s="1"/>
  <c r="E72" i="56"/>
  <c r="N72" i="56" s="1"/>
  <c r="F72" i="56"/>
  <c r="G72" i="56"/>
  <c r="H72" i="56" s="1"/>
  <c r="I72" i="56"/>
  <c r="J72" i="56" s="1"/>
  <c r="E73" i="56"/>
  <c r="N73" i="56" s="1"/>
  <c r="F73" i="56"/>
  <c r="G73" i="56"/>
  <c r="H73" i="56" s="1"/>
  <c r="I73" i="56"/>
  <c r="J73" i="56" s="1"/>
  <c r="E74" i="56"/>
  <c r="N74" i="56" s="1"/>
  <c r="F74" i="56"/>
  <c r="G74" i="56"/>
  <c r="H74" i="56" s="1"/>
  <c r="I74" i="56"/>
  <c r="J74" i="56" s="1"/>
  <c r="E75" i="56"/>
  <c r="F75" i="56"/>
  <c r="G75" i="56"/>
  <c r="H75" i="56" s="1"/>
  <c r="I75" i="56"/>
  <c r="J75" i="56" s="1"/>
  <c r="E76" i="56"/>
  <c r="N76" i="56" s="1"/>
  <c r="F76" i="56"/>
  <c r="G76" i="56"/>
  <c r="H76" i="56" s="1"/>
  <c r="I76" i="56"/>
  <c r="J76" i="56" s="1"/>
  <c r="E77" i="56"/>
  <c r="N77" i="56" s="1"/>
  <c r="F77" i="56"/>
  <c r="G77" i="56"/>
  <c r="H77" i="56" s="1"/>
  <c r="I77" i="56"/>
  <c r="J77" i="56" s="1"/>
  <c r="E78" i="56"/>
  <c r="F78" i="56"/>
  <c r="G78" i="56"/>
  <c r="H78" i="56" s="1"/>
  <c r="I78" i="56"/>
  <c r="J78" i="56" s="1"/>
  <c r="E79" i="56"/>
  <c r="N79" i="56" s="1"/>
  <c r="F79" i="56"/>
  <c r="G79" i="56"/>
  <c r="H79" i="56" s="1"/>
  <c r="I79" i="56"/>
  <c r="J79" i="56" s="1"/>
  <c r="E80" i="56"/>
  <c r="N80" i="56" s="1"/>
  <c r="F80" i="56"/>
  <c r="G80" i="56"/>
  <c r="H80" i="56" s="1"/>
  <c r="I80" i="56"/>
  <c r="J80" i="56" s="1"/>
  <c r="E81" i="56"/>
  <c r="F81" i="56"/>
  <c r="G81" i="56"/>
  <c r="H81" i="56" s="1"/>
  <c r="I81" i="56"/>
  <c r="J81" i="56"/>
  <c r="E82" i="56"/>
  <c r="N82" i="56" s="1"/>
  <c r="F82" i="56"/>
  <c r="G82" i="56"/>
  <c r="H82" i="56" s="1"/>
  <c r="I82" i="56"/>
  <c r="J82" i="56" s="1"/>
  <c r="E83" i="56"/>
  <c r="N83" i="56" s="1"/>
  <c r="F83" i="56"/>
  <c r="G83" i="56"/>
  <c r="H83" i="56" s="1"/>
  <c r="I83" i="56"/>
  <c r="J83" i="56"/>
  <c r="E84" i="56"/>
  <c r="N84" i="56" s="1"/>
  <c r="F84" i="56"/>
  <c r="G84" i="56"/>
  <c r="H84" i="56" s="1"/>
  <c r="I84" i="56"/>
  <c r="J84" i="56" s="1"/>
  <c r="E85" i="56"/>
  <c r="F85" i="56"/>
  <c r="G85" i="56"/>
  <c r="H85" i="56" s="1"/>
  <c r="I85" i="56"/>
  <c r="J85" i="56" s="1"/>
  <c r="E86" i="56"/>
  <c r="N86" i="56" s="1"/>
  <c r="F86" i="56"/>
  <c r="G86" i="56"/>
  <c r="H86" i="56" s="1"/>
  <c r="I86" i="56"/>
  <c r="J86" i="56"/>
  <c r="E87" i="56"/>
  <c r="N87" i="56" s="1"/>
  <c r="F87" i="56"/>
  <c r="G87" i="56"/>
  <c r="H87" i="56" s="1"/>
  <c r="I87" i="56"/>
  <c r="J87" i="56" s="1"/>
  <c r="E88" i="56"/>
  <c r="N88" i="56" s="1"/>
  <c r="F88" i="56"/>
  <c r="G88" i="56"/>
  <c r="H88" i="56" s="1"/>
  <c r="I88" i="56"/>
  <c r="J88" i="56"/>
  <c r="E89" i="56"/>
  <c r="N89" i="56" s="1"/>
  <c r="F89" i="56"/>
  <c r="G89" i="56"/>
  <c r="H89" i="56" s="1"/>
  <c r="I89" i="56"/>
  <c r="J89" i="56" s="1"/>
  <c r="E90" i="56"/>
  <c r="N90" i="56" s="1"/>
  <c r="F90" i="56"/>
  <c r="G90" i="56"/>
  <c r="H90" i="56" s="1"/>
  <c r="I90" i="56"/>
  <c r="J90" i="56" s="1"/>
  <c r="E91" i="56"/>
  <c r="N91" i="56" s="1"/>
  <c r="F91" i="56"/>
  <c r="G91" i="56"/>
  <c r="H91" i="56" s="1"/>
  <c r="I91" i="56"/>
  <c r="J91" i="56" s="1"/>
  <c r="E92" i="56"/>
  <c r="N92" i="56" s="1"/>
  <c r="F92" i="56"/>
  <c r="G92" i="56"/>
  <c r="H92" i="56" s="1"/>
  <c r="I92" i="56"/>
  <c r="J92" i="56" s="1"/>
  <c r="E93" i="56"/>
  <c r="N93" i="56" s="1"/>
  <c r="F93" i="56"/>
  <c r="G93" i="56"/>
  <c r="H93" i="56" s="1"/>
  <c r="I93" i="56"/>
  <c r="J93" i="56" s="1"/>
  <c r="E94" i="56"/>
  <c r="N94" i="56" s="1"/>
  <c r="F94" i="56"/>
  <c r="G94" i="56"/>
  <c r="H94" i="56" s="1"/>
  <c r="I94" i="56"/>
  <c r="J94" i="56" s="1"/>
  <c r="E95" i="56"/>
  <c r="N95" i="56" s="1"/>
  <c r="F95" i="56"/>
  <c r="G95" i="56"/>
  <c r="H95" i="56" s="1"/>
  <c r="I95" i="56"/>
  <c r="J95" i="56" s="1"/>
  <c r="E96" i="56"/>
  <c r="F96" i="56"/>
  <c r="G96" i="56"/>
  <c r="H96" i="56" s="1"/>
  <c r="I96" i="56"/>
  <c r="J96" i="56" s="1"/>
  <c r="E97" i="56"/>
  <c r="N97" i="56" s="1"/>
  <c r="F97" i="56"/>
  <c r="G97" i="56"/>
  <c r="H97" i="56" s="1"/>
  <c r="I97" i="56"/>
  <c r="J97" i="56" s="1"/>
  <c r="E98" i="56"/>
  <c r="N98" i="56" s="1"/>
  <c r="F98" i="56"/>
  <c r="G98" i="56"/>
  <c r="H98" i="56" s="1"/>
  <c r="I98" i="56"/>
  <c r="J98" i="56" s="1"/>
  <c r="E99" i="56"/>
  <c r="F99" i="56"/>
  <c r="G99" i="56"/>
  <c r="H99" i="56" s="1"/>
  <c r="I99" i="56"/>
  <c r="J99" i="56"/>
  <c r="E100" i="56"/>
  <c r="N100" i="56" s="1"/>
  <c r="F100" i="56"/>
  <c r="G100" i="56"/>
  <c r="H100" i="56" s="1"/>
  <c r="I100" i="56"/>
  <c r="J100" i="56" s="1"/>
  <c r="E101" i="56"/>
  <c r="N101" i="56" s="1"/>
  <c r="F101" i="56"/>
  <c r="G101" i="56"/>
  <c r="H101" i="56" s="1"/>
  <c r="I101" i="56"/>
  <c r="J101" i="56" s="1"/>
  <c r="E102" i="56"/>
  <c r="N102" i="56" s="1"/>
  <c r="F102" i="56"/>
  <c r="G102" i="56"/>
  <c r="H102" i="56" s="1"/>
  <c r="I102" i="56"/>
  <c r="J102" i="56" s="1"/>
  <c r="E103" i="56"/>
  <c r="N103" i="56" s="1"/>
  <c r="F103" i="56"/>
  <c r="G103" i="56"/>
  <c r="H103" i="56" s="1"/>
  <c r="I103" i="56"/>
  <c r="J103" i="56"/>
  <c r="E104" i="56"/>
  <c r="N104" i="56" s="1"/>
  <c r="F104" i="56"/>
  <c r="G104" i="56"/>
  <c r="H104" i="56" s="1"/>
  <c r="I104" i="56"/>
  <c r="J104" i="56" s="1"/>
  <c r="E105" i="56"/>
  <c r="N105" i="56" s="1"/>
  <c r="F105" i="56"/>
  <c r="G105" i="56"/>
  <c r="H105" i="56" s="1"/>
  <c r="I105" i="56"/>
  <c r="J105" i="56"/>
  <c r="E106" i="56"/>
  <c r="N106" i="56" s="1"/>
  <c r="F106" i="56"/>
  <c r="G106" i="56"/>
  <c r="H106" i="56" s="1"/>
  <c r="I106" i="56"/>
  <c r="J106" i="56" s="1"/>
  <c r="E107" i="56"/>
  <c r="N107" i="56" s="1"/>
  <c r="F107" i="56"/>
  <c r="G107" i="56"/>
  <c r="H107" i="56" s="1"/>
  <c r="I107" i="56"/>
  <c r="J107" i="56" s="1"/>
  <c r="E108" i="56"/>
  <c r="N108" i="56" s="1"/>
  <c r="F108" i="56"/>
  <c r="G108" i="56"/>
  <c r="H108" i="56" s="1"/>
  <c r="I108" i="56"/>
  <c r="J108" i="56" s="1"/>
  <c r="E109" i="56"/>
  <c r="N109" i="56" s="1"/>
  <c r="F109" i="56"/>
  <c r="G109" i="56"/>
  <c r="H109" i="56" s="1"/>
  <c r="I109" i="56"/>
  <c r="J109" i="56" s="1"/>
  <c r="E110" i="56"/>
  <c r="N110" i="56" s="1"/>
  <c r="F110" i="56"/>
  <c r="G110" i="56"/>
  <c r="H110" i="56" s="1"/>
  <c r="I110" i="56"/>
  <c r="J110" i="56"/>
  <c r="E111" i="56"/>
  <c r="N111" i="56" s="1"/>
  <c r="F111" i="56"/>
  <c r="G111" i="56"/>
  <c r="H111" i="56" s="1"/>
  <c r="I111" i="56"/>
  <c r="J111" i="56" s="1"/>
  <c r="E112" i="56"/>
  <c r="N112" i="56" s="1"/>
  <c r="F112" i="56"/>
  <c r="G112" i="56"/>
  <c r="H112" i="56" s="1"/>
  <c r="I112" i="56"/>
  <c r="J112" i="56"/>
  <c r="E113" i="56"/>
  <c r="N113" i="56" s="1"/>
  <c r="F113" i="56"/>
  <c r="G113" i="56"/>
  <c r="H113" i="56" s="1"/>
  <c r="I113" i="56"/>
  <c r="J113" i="56" s="1"/>
  <c r="E114" i="56"/>
  <c r="N114" i="56" s="1"/>
  <c r="F114" i="56"/>
  <c r="G114" i="56"/>
  <c r="H114" i="56" s="1"/>
  <c r="I114" i="56"/>
  <c r="J114" i="56" s="1"/>
  <c r="E115" i="56"/>
  <c r="N115" i="56" s="1"/>
  <c r="F115" i="56"/>
  <c r="G115" i="56"/>
  <c r="H115" i="56" s="1"/>
  <c r="I115" i="56"/>
  <c r="J115" i="56"/>
  <c r="E116" i="56"/>
  <c r="N116" i="56" s="1"/>
  <c r="F116" i="56"/>
  <c r="G116" i="56"/>
  <c r="H116" i="56" s="1"/>
  <c r="I116" i="56"/>
  <c r="J116" i="56" s="1"/>
  <c r="E117" i="56"/>
  <c r="F117" i="56"/>
  <c r="G117" i="56"/>
  <c r="H117" i="56" s="1"/>
  <c r="I117" i="56"/>
  <c r="J117" i="56"/>
  <c r="E118" i="56"/>
  <c r="N118" i="56" s="1"/>
  <c r="F118" i="56"/>
  <c r="G118" i="56"/>
  <c r="H118" i="56" s="1"/>
  <c r="I118" i="56"/>
  <c r="J118" i="56" s="1"/>
  <c r="E119" i="56"/>
  <c r="N119" i="56" s="1"/>
  <c r="F119" i="56"/>
  <c r="G119" i="56"/>
  <c r="H119" i="56" s="1"/>
  <c r="I119" i="56"/>
  <c r="J119" i="56" s="1"/>
  <c r="E120" i="56"/>
  <c r="N120" i="56" s="1"/>
  <c r="F120" i="56"/>
  <c r="G120" i="56"/>
  <c r="H120" i="56" s="1"/>
  <c r="I120" i="56"/>
  <c r="J120" i="56"/>
  <c r="E121" i="56"/>
  <c r="F121" i="56"/>
  <c r="G121" i="56"/>
  <c r="H121" i="56" s="1"/>
  <c r="I121" i="56"/>
  <c r="J121" i="56" s="1"/>
  <c r="E122" i="56"/>
  <c r="G122" i="56"/>
  <c r="H122" i="56" s="1"/>
  <c r="I122" i="56"/>
  <c r="J122" i="56" s="1"/>
  <c r="E123" i="56"/>
  <c r="G123" i="56"/>
  <c r="H123" i="56"/>
  <c r="I123" i="56"/>
  <c r="J123" i="56" s="1"/>
  <c r="E124" i="56"/>
  <c r="G124" i="56"/>
  <c r="H124" i="56" s="1"/>
  <c r="I124" i="56"/>
  <c r="J124" i="56" s="1"/>
  <c r="E125" i="56"/>
  <c r="G125" i="56"/>
  <c r="H125" i="56" s="1"/>
  <c r="I125" i="56"/>
  <c r="J125" i="56" s="1"/>
  <c r="E126" i="56"/>
  <c r="G126" i="56"/>
  <c r="H126" i="56" s="1"/>
  <c r="I126" i="56"/>
  <c r="J126" i="56" s="1"/>
  <c r="E127" i="56"/>
  <c r="G127" i="56"/>
  <c r="H127" i="56" s="1"/>
  <c r="I127" i="56"/>
  <c r="J127" i="56" s="1"/>
  <c r="E128" i="56"/>
  <c r="G128" i="56"/>
  <c r="H128" i="56" s="1"/>
  <c r="I128" i="56"/>
  <c r="J128" i="56" s="1"/>
  <c r="E129" i="56"/>
  <c r="G129" i="56"/>
  <c r="H129" i="56" s="1"/>
  <c r="I129" i="56"/>
  <c r="J129" i="56" s="1"/>
  <c r="E130" i="56"/>
  <c r="G130" i="56"/>
  <c r="H130" i="56" s="1"/>
  <c r="I130" i="56"/>
  <c r="J130" i="56" s="1"/>
  <c r="E131" i="56"/>
  <c r="N131" i="56" s="1"/>
  <c r="F131" i="56"/>
  <c r="G131" i="56"/>
  <c r="H131" i="56" s="1"/>
  <c r="I131" i="56"/>
  <c r="J131" i="56" s="1"/>
  <c r="E132" i="56"/>
  <c r="F132" i="56"/>
  <c r="G132" i="56"/>
  <c r="H132" i="56" s="1"/>
  <c r="I132" i="56"/>
  <c r="J132" i="56" s="1"/>
  <c r="E133" i="56"/>
  <c r="N133" i="56" s="1"/>
  <c r="F133" i="56"/>
  <c r="G133" i="56"/>
  <c r="H133" i="56" s="1"/>
  <c r="I133" i="56"/>
  <c r="J133" i="56" s="1"/>
  <c r="E134" i="56"/>
  <c r="N134" i="56" s="1"/>
  <c r="F134" i="56"/>
  <c r="G134" i="56"/>
  <c r="H134" i="56" s="1"/>
  <c r="I134" i="56"/>
  <c r="J134" i="56" s="1"/>
  <c r="E135" i="56"/>
  <c r="F135" i="56"/>
  <c r="G135" i="56"/>
  <c r="H135" i="56" s="1"/>
  <c r="I135" i="56"/>
  <c r="J135" i="56" s="1"/>
  <c r="E136" i="56"/>
  <c r="F136" i="56"/>
  <c r="G136" i="56"/>
  <c r="H136" i="56" s="1"/>
  <c r="I136" i="56"/>
  <c r="J136" i="56" s="1"/>
  <c r="E137" i="56"/>
  <c r="N137" i="56" s="1"/>
  <c r="F137" i="56"/>
  <c r="G137" i="56"/>
  <c r="H137" i="56" s="1"/>
  <c r="I137" i="56"/>
  <c r="J137" i="56" s="1"/>
  <c r="E138" i="56"/>
  <c r="N138" i="56" s="1"/>
  <c r="F138" i="56"/>
  <c r="G138" i="56"/>
  <c r="H138" i="56" s="1"/>
  <c r="I138" i="56"/>
  <c r="J138" i="56" s="1"/>
  <c r="E139" i="56"/>
  <c r="N139" i="56" s="1"/>
  <c r="F139" i="56"/>
  <c r="G139" i="56"/>
  <c r="H139" i="56" s="1"/>
  <c r="I139" i="56"/>
  <c r="J139" i="56" s="1"/>
  <c r="E140" i="56"/>
  <c r="N140" i="56" s="1"/>
  <c r="F140" i="56"/>
  <c r="G140" i="56"/>
  <c r="H140" i="56" s="1"/>
  <c r="I140" i="56"/>
  <c r="J140" i="56" s="1"/>
  <c r="E141" i="56"/>
  <c r="N141" i="56" s="1"/>
  <c r="F141" i="56"/>
  <c r="G141" i="56"/>
  <c r="H141" i="56" s="1"/>
  <c r="I141" i="56"/>
  <c r="J141" i="56" s="1"/>
  <c r="E142" i="56"/>
  <c r="G142" i="56"/>
  <c r="H142" i="56" s="1"/>
  <c r="I142" i="56"/>
  <c r="J142" i="56" s="1"/>
  <c r="E143" i="56"/>
  <c r="F143" i="56"/>
  <c r="G143" i="56"/>
  <c r="H143" i="56" s="1"/>
  <c r="I143" i="56"/>
  <c r="J143" i="56" s="1"/>
  <c r="E144" i="56"/>
  <c r="G144" i="56"/>
  <c r="H144" i="56" s="1"/>
  <c r="I144" i="56"/>
  <c r="J144" i="56" s="1"/>
  <c r="E145" i="56"/>
  <c r="N145" i="56" s="1"/>
  <c r="F145" i="56"/>
  <c r="G145" i="56"/>
  <c r="H145" i="56" s="1"/>
  <c r="I145" i="56"/>
  <c r="J145" i="56" s="1"/>
  <c r="E146" i="56"/>
  <c r="G146" i="56"/>
  <c r="H146" i="56" s="1"/>
  <c r="I146" i="56"/>
  <c r="J146" i="56" s="1"/>
  <c r="E147" i="56"/>
  <c r="N147" i="56" s="1"/>
  <c r="F147" i="56"/>
  <c r="G147" i="56"/>
  <c r="H147" i="56" s="1"/>
  <c r="I147" i="56"/>
  <c r="J147" i="56"/>
  <c r="E148" i="56"/>
  <c r="G148" i="56"/>
  <c r="H148" i="56" s="1"/>
  <c r="I148" i="56"/>
  <c r="J148" i="56" s="1"/>
  <c r="E149" i="56"/>
  <c r="G149" i="56"/>
  <c r="H149" i="56" s="1"/>
  <c r="I149" i="56"/>
  <c r="J149" i="56" s="1"/>
  <c r="E150" i="56"/>
  <c r="N150" i="56" s="1"/>
  <c r="F150" i="56"/>
  <c r="G150" i="56"/>
  <c r="H150" i="56" s="1"/>
  <c r="I150" i="56"/>
  <c r="J150" i="56" s="1"/>
  <c r="E151" i="56"/>
  <c r="N151" i="56" s="1"/>
  <c r="F151" i="56"/>
  <c r="G151" i="56"/>
  <c r="H151" i="56" s="1"/>
  <c r="I151" i="56"/>
  <c r="J151" i="56" s="1"/>
  <c r="E152" i="56"/>
  <c r="N152" i="56" s="1"/>
  <c r="F152" i="56"/>
  <c r="G152" i="56"/>
  <c r="H152" i="56" s="1"/>
  <c r="I152" i="56"/>
  <c r="J152" i="56" s="1"/>
  <c r="E153" i="56"/>
  <c r="F153" i="56"/>
  <c r="G153" i="56"/>
  <c r="H153" i="56" s="1"/>
  <c r="I153" i="56"/>
  <c r="J153" i="56" s="1"/>
  <c r="E154" i="56"/>
  <c r="N154" i="56" s="1"/>
  <c r="F154" i="56"/>
  <c r="G154" i="56"/>
  <c r="H154" i="56" s="1"/>
  <c r="I154" i="56"/>
  <c r="J154" i="56" s="1"/>
  <c r="E155" i="56"/>
  <c r="N155" i="56" s="1"/>
  <c r="F155" i="56"/>
  <c r="G155" i="56"/>
  <c r="H155" i="56" s="1"/>
  <c r="I155" i="56"/>
  <c r="J155" i="56" s="1"/>
  <c r="E156" i="56"/>
  <c r="N156" i="56" s="1"/>
  <c r="F156" i="56"/>
  <c r="G156" i="56"/>
  <c r="H156" i="56" s="1"/>
  <c r="I156" i="56"/>
  <c r="J156" i="56" s="1"/>
  <c r="E157" i="56"/>
  <c r="N157" i="56" s="1"/>
  <c r="F157" i="56"/>
  <c r="G157" i="56"/>
  <c r="H157" i="56" s="1"/>
  <c r="I157" i="56"/>
  <c r="J157" i="56" s="1"/>
  <c r="E158" i="56"/>
  <c r="N158" i="56" s="1"/>
  <c r="F158" i="56"/>
  <c r="G158" i="56"/>
  <c r="H158" i="56" s="1"/>
  <c r="I158" i="56"/>
  <c r="J158" i="56" s="1"/>
  <c r="E159" i="56"/>
  <c r="N159" i="56" s="1"/>
  <c r="F159" i="56"/>
  <c r="G159" i="56"/>
  <c r="H159" i="56"/>
  <c r="I159" i="56"/>
  <c r="J159" i="56" s="1"/>
  <c r="E160" i="56"/>
  <c r="N160" i="56" s="1"/>
  <c r="F160" i="56"/>
  <c r="G160" i="56"/>
  <c r="H160" i="56" s="1"/>
  <c r="I160" i="56"/>
  <c r="J160" i="56" s="1"/>
  <c r="E161" i="56"/>
  <c r="N161" i="56" s="1"/>
  <c r="F161" i="56"/>
  <c r="G161" i="56"/>
  <c r="H161" i="56" s="1"/>
  <c r="I161" i="56"/>
  <c r="J161" i="56" s="1"/>
  <c r="E162" i="56"/>
  <c r="N162" i="56" s="1"/>
  <c r="F162" i="56"/>
  <c r="G162" i="56"/>
  <c r="H162" i="56" s="1"/>
  <c r="I162" i="56"/>
  <c r="J162" i="56" s="1"/>
  <c r="E163" i="56"/>
  <c r="N163" i="56" s="1"/>
  <c r="F163" i="56"/>
  <c r="G163" i="56"/>
  <c r="H163" i="56" s="1"/>
  <c r="I163" i="56"/>
  <c r="J163" i="56" s="1"/>
  <c r="E164" i="56"/>
  <c r="N164" i="56" s="1"/>
  <c r="F164" i="56"/>
  <c r="G164" i="56"/>
  <c r="H164" i="56" s="1"/>
  <c r="I164" i="56"/>
  <c r="J164" i="56"/>
  <c r="E165" i="56"/>
  <c r="N165" i="56" s="1"/>
  <c r="F165" i="56"/>
  <c r="G165" i="56"/>
  <c r="H165" i="56" s="1"/>
  <c r="I165" i="56"/>
  <c r="J165" i="56" s="1"/>
  <c r="E166" i="56"/>
  <c r="N166" i="56" s="1"/>
  <c r="F166" i="56"/>
  <c r="G166" i="56"/>
  <c r="H166" i="56" s="1"/>
  <c r="I166" i="56"/>
  <c r="J166" i="56" s="1"/>
  <c r="E167" i="56"/>
  <c r="N167" i="56" s="1"/>
  <c r="F167" i="56"/>
  <c r="G167" i="56"/>
  <c r="H167" i="56" s="1"/>
  <c r="I167" i="56"/>
  <c r="J167" i="56" s="1"/>
  <c r="E168" i="56"/>
  <c r="N168" i="56" s="1"/>
  <c r="F168" i="56"/>
  <c r="G168" i="56"/>
  <c r="H168" i="56" s="1"/>
  <c r="I168" i="56"/>
  <c r="J168" i="56" s="1"/>
  <c r="E169" i="56"/>
  <c r="N169" i="56" s="1"/>
  <c r="F169" i="56"/>
  <c r="G169" i="56"/>
  <c r="H169" i="56" s="1"/>
  <c r="I169" i="56"/>
  <c r="J169" i="56" s="1"/>
  <c r="E170" i="56"/>
  <c r="N170" i="56" s="1"/>
  <c r="F170" i="56"/>
  <c r="G170" i="56"/>
  <c r="H170" i="56" s="1"/>
  <c r="I170" i="56"/>
  <c r="J170" i="56" s="1"/>
  <c r="E171" i="56"/>
  <c r="N171" i="56" s="1"/>
  <c r="F171" i="56"/>
  <c r="G171" i="56"/>
  <c r="H171" i="56" s="1"/>
  <c r="I171" i="56"/>
  <c r="J171" i="56" s="1"/>
  <c r="E172" i="56"/>
  <c r="N172" i="56" s="1"/>
  <c r="F172" i="56"/>
  <c r="G172" i="56"/>
  <c r="H172" i="56" s="1"/>
  <c r="I172" i="56"/>
  <c r="J172" i="56"/>
  <c r="E173" i="56"/>
  <c r="N173" i="56" s="1"/>
  <c r="F173" i="56"/>
  <c r="G173" i="56"/>
  <c r="H173" i="56" s="1"/>
  <c r="I173" i="56"/>
  <c r="J173" i="56" s="1"/>
  <c r="E174" i="56"/>
  <c r="N174" i="56" s="1"/>
  <c r="F174" i="56"/>
  <c r="G174" i="56"/>
  <c r="H174" i="56" s="1"/>
  <c r="I174" i="56"/>
  <c r="J174" i="56" s="1"/>
  <c r="E175" i="56"/>
  <c r="N175" i="56" s="1"/>
  <c r="F175" i="56"/>
  <c r="G175" i="56"/>
  <c r="H175" i="56" s="1"/>
  <c r="I175" i="56"/>
  <c r="J175" i="56"/>
  <c r="E176" i="56"/>
  <c r="N176" i="56" s="1"/>
  <c r="F176" i="56"/>
  <c r="G176" i="56"/>
  <c r="H176" i="56" s="1"/>
  <c r="I176" i="56"/>
  <c r="J176" i="56" s="1"/>
  <c r="E177" i="56"/>
  <c r="N177" i="56" s="1"/>
  <c r="F177" i="56"/>
  <c r="G177" i="56"/>
  <c r="H177" i="56" s="1"/>
  <c r="I177" i="56"/>
  <c r="J177" i="56" s="1"/>
  <c r="E178" i="56"/>
  <c r="N178" i="56" s="1"/>
  <c r="F178" i="56"/>
  <c r="G178" i="56"/>
  <c r="H178" i="56" s="1"/>
  <c r="I178" i="56"/>
  <c r="J178" i="56" s="1"/>
  <c r="E179" i="56"/>
  <c r="N179" i="56" s="1"/>
  <c r="F179" i="56"/>
  <c r="G179" i="56"/>
  <c r="H179" i="56" s="1"/>
  <c r="I179" i="56"/>
  <c r="J179" i="56" s="1"/>
  <c r="E180" i="56"/>
  <c r="N180" i="56" s="1"/>
  <c r="F180" i="56"/>
  <c r="G180" i="56"/>
  <c r="H180" i="56" s="1"/>
  <c r="I180" i="56"/>
  <c r="J180" i="56" s="1"/>
  <c r="E181" i="56"/>
  <c r="N181" i="56" s="1"/>
  <c r="F181" i="56"/>
  <c r="G181" i="56"/>
  <c r="H181" i="56" s="1"/>
  <c r="I181" i="56"/>
  <c r="J181" i="56" s="1"/>
  <c r="E182" i="56"/>
  <c r="N182" i="56" s="1"/>
  <c r="F182" i="56"/>
  <c r="G182" i="56"/>
  <c r="H182" i="56" s="1"/>
  <c r="I182" i="56"/>
  <c r="J182" i="56" s="1"/>
  <c r="E183" i="56"/>
  <c r="N183" i="56" s="1"/>
  <c r="F183" i="56"/>
  <c r="G183" i="56"/>
  <c r="H183" i="56" s="1"/>
  <c r="I183" i="56"/>
  <c r="J183" i="56" s="1"/>
  <c r="E184" i="56"/>
  <c r="N184" i="56" s="1"/>
  <c r="F184" i="56"/>
  <c r="G184" i="56"/>
  <c r="H184" i="56" s="1"/>
  <c r="I184" i="56"/>
  <c r="J184" i="56" s="1"/>
  <c r="E185" i="56"/>
  <c r="N185" i="56" s="1"/>
  <c r="F185" i="56"/>
  <c r="G185" i="56"/>
  <c r="H185" i="56" s="1"/>
  <c r="I185" i="56"/>
  <c r="J185" i="56" s="1"/>
  <c r="E186" i="56"/>
  <c r="N186" i="56" s="1"/>
  <c r="F186" i="56"/>
  <c r="G186" i="56"/>
  <c r="H186" i="56" s="1"/>
  <c r="I186" i="56"/>
  <c r="J186" i="56" s="1"/>
  <c r="E187" i="56"/>
  <c r="N187" i="56" s="1"/>
  <c r="F187" i="56"/>
  <c r="G187" i="56"/>
  <c r="H187" i="56" s="1"/>
  <c r="I187" i="56"/>
  <c r="J187" i="56"/>
  <c r="E188" i="56"/>
  <c r="N188" i="56" s="1"/>
  <c r="F188" i="56"/>
  <c r="G188" i="56"/>
  <c r="H188" i="56" s="1"/>
  <c r="I188" i="56"/>
  <c r="J188" i="56" s="1"/>
  <c r="E189" i="56"/>
  <c r="N189" i="56" s="1"/>
  <c r="F189" i="56"/>
  <c r="G189" i="56"/>
  <c r="H189" i="56" s="1"/>
  <c r="I189" i="56"/>
  <c r="J189" i="56" s="1"/>
  <c r="E190" i="56"/>
  <c r="N190" i="56" s="1"/>
  <c r="F190" i="56"/>
  <c r="G190" i="56"/>
  <c r="H190" i="56" s="1"/>
  <c r="I190" i="56"/>
  <c r="J190" i="56" s="1"/>
  <c r="E191" i="56"/>
  <c r="N191" i="56" s="1"/>
  <c r="F191" i="56"/>
  <c r="G191" i="56"/>
  <c r="H191" i="56"/>
  <c r="I191" i="56"/>
  <c r="J191" i="56" s="1"/>
  <c r="E192" i="56"/>
  <c r="N192" i="56" s="1"/>
  <c r="F192" i="56"/>
  <c r="G192" i="56"/>
  <c r="H192" i="56" s="1"/>
  <c r="I192" i="56"/>
  <c r="J192" i="56" s="1"/>
  <c r="E193" i="56"/>
  <c r="N193" i="56" s="1"/>
  <c r="F193" i="56"/>
  <c r="G193" i="56"/>
  <c r="H193" i="56" s="1"/>
  <c r="I193" i="56"/>
  <c r="J193" i="56" s="1"/>
  <c r="E194" i="56"/>
  <c r="N194" i="56" s="1"/>
  <c r="F194" i="56"/>
  <c r="G194" i="56"/>
  <c r="H194" i="56" s="1"/>
  <c r="I194" i="56"/>
  <c r="J194" i="56"/>
  <c r="E195" i="56"/>
  <c r="N195" i="56" s="1"/>
  <c r="F195" i="56"/>
  <c r="G195" i="56"/>
  <c r="H195" i="56" s="1"/>
  <c r="I195" i="56"/>
  <c r="J195" i="56" s="1"/>
  <c r="E196" i="56"/>
  <c r="N196" i="56" s="1"/>
  <c r="F196" i="56"/>
  <c r="G196" i="56"/>
  <c r="H196" i="56" s="1"/>
  <c r="I196" i="56"/>
  <c r="J196" i="56"/>
  <c r="E197" i="56"/>
  <c r="N197" i="56" s="1"/>
  <c r="F197" i="56"/>
  <c r="G197" i="56"/>
  <c r="H197" i="56" s="1"/>
  <c r="I197" i="56"/>
  <c r="J197" i="56" s="1"/>
  <c r="E198" i="56"/>
  <c r="N198" i="56" s="1"/>
  <c r="F198" i="56"/>
  <c r="G198" i="56"/>
  <c r="H198" i="56" s="1"/>
  <c r="I198" i="56"/>
  <c r="J198" i="56" s="1"/>
  <c r="E199" i="56"/>
  <c r="N199" i="56" s="1"/>
  <c r="F199" i="56"/>
  <c r="G199" i="56"/>
  <c r="H199" i="56" s="1"/>
  <c r="I199" i="56"/>
  <c r="J199" i="56"/>
  <c r="I3" i="56"/>
  <c r="J3" i="56" s="1"/>
  <c r="F3" i="56"/>
  <c r="G3" i="56"/>
  <c r="H3" i="56" s="1"/>
  <c r="E3" i="56"/>
  <c r="N3" i="56" s="1"/>
  <c r="P200" i="56"/>
  <c r="L200" i="56"/>
  <c r="P199" i="56"/>
  <c r="P198" i="56"/>
  <c r="P197" i="56"/>
  <c r="P196" i="56"/>
  <c r="P195" i="56"/>
  <c r="P194" i="56"/>
  <c r="P193" i="56"/>
  <c r="P192" i="56"/>
  <c r="P191" i="56"/>
  <c r="P190" i="56"/>
  <c r="P189" i="56"/>
  <c r="P188" i="56"/>
  <c r="P187" i="56"/>
  <c r="P186" i="56"/>
  <c r="P185" i="56"/>
  <c r="P184" i="56"/>
  <c r="P183" i="56"/>
  <c r="P182" i="56"/>
  <c r="P181" i="56"/>
  <c r="P180" i="56"/>
  <c r="P179" i="56"/>
  <c r="P178" i="56"/>
  <c r="P177" i="56"/>
  <c r="P176" i="56"/>
  <c r="P175" i="56"/>
  <c r="P174" i="56"/>
  <c r="P173" i="56"/>
  <c r="P172" i="56"/>
  <c r="P171" i="56"/>
  <c r="P170" i="56"/>
  <c r="P169" i="56"/>
  <c r="P168" i="56"/>
  <c r="P167" i="56"/>
  <c r="P166" i="56"/>
  <c r="P165" i="56"/>
  <c r="P164" i="56"/>
  <c r="P163" i="56"/>
  <c r="P162" i="56"/>
  <c r="P161" i="56"/>
  <c r="P160" i="56"/>
  <c r="P159" i="56"/>
  <c r="P158" i="56"/>
  <c r="P157" i="56"/>
  <c r="P156" i="56"/>
  <c r="P155" i="56"/>
  <c r="P154" i="56"/>
  <c r="P153" i="56"/>
  <c r="P152" i="56"/>
  <c r="P151" i="56"/>
  <c r="P150" i="56"/>
  <c r="P149" i="56"/>
  <c r="P148" i="56"/>
  <c r="P147" i="56"/>
  <c r="P146" i="56"/>
  <c r="P145" i="56"/>
  <c r="P144" i="56"/>
  <c r="P143" i="56"/>
  <c r="N143" i="56"/>
  <c r="P142" i="56"/>
  <c r="P141" i="56"/>
  <c r="P140" i="56"/>
  <c r="P139" i="56"/>
  <c r="P138" i="56"/>
  <c r="P137" i="56"/>
  <c r="P136" i="56"/>
  <c r="N136" i="56"/>
  <c r="P135" i="56"/>
  <c r="P134" i="56"/>
  <c r="P133" i="56"/>
  <c r="P132" i="56"/>
  <c r="N132" i="56"/>
  <c r="P131" i="56"/>
  <c r="P130" i="56"/>
  <c r="P129" i="56"/>
  <c r="P128" i="56"/>
  <c r="P127" i="56"/>
  <c r="P126" i="56"/>
  <c r="P125" i="56"/>
  <c r="P124" i="56"/>
  <c r="P123" i="56"/>
  <c r="P122" i="56"/>
  <c r="P121" i="56"/>
  <c r="P120" i="56"/>
  <c r="P119" i="56"/>
  <c r="P118" i="56"/>
  <c r="P117" i="56"/>
  <c r="P116" i="56"/>
  <c r="P115" i="56"/>
  <c r="P114" i="56"/>
  <c r="P113" i="56"/>
  <c r="P112" i="56"/>
  <c r="P111" i="56"/>
  <c r="P110" i="56"/>
  <c r="P109" i="56"/>
  <c r="P108" i="56"/>
  <c r="P107" i="56"/>
  <c r="P106" i="56"/>
  <c r="P105" i="56"/>
  <c r="P104" i="56"/>
  <c r="P103" i="56"/>
  <c r="P102" i="56"/>
  <c r="P101" i="56"/>
  <c r="P100" i="56"/>
  <c r="P99" i="56"/>
  <c r="P98" i="56"/>
  <c r="P97" i="56"/>
  <c r="P96" i="56"/>
  <c r="N96" i="56"/>
  <c r="P95" i="56"/>
  <c r="P94" i="56"/>
  <c r="P93" i="56"/>
  <c r="P92" i="56"/>
  <c r="P91" i="56"/>
  <c r="P90" i="56"/>
  <c r="P89" i="56"/>
  <c r="P88" i="56"/>
  <c r="P87" i="56"/>
  <c r="P86" i="56"/>
  <c r="P85" i="56"/>
  <c r="P84" i="56"/>
  <c r="P83" i="56"/>
  <c r="P82" i="56"/>
  <c r="P81" i="56"/>
  <c r="P80" i="56"/>
  <c r="P79" i="56"/>
  <c r="P78" i="56"/>
  <c r="N78" i="56"/>
  <c r="P77" i="56"/>
  <c r="P76" i="56"/>
  <c r="P75" i="56"/>
  <c r="P74" i="56"/>
  <c r="P73" i="56"/>
  <c r="P72" i="56"/>
  <c r="P71" i="56"/>
  <c r="P70" i="56"/>
  <c r="P69" i="56"/>
  <c r="P68" i="56"/>
  <c r="P67" i="56"/>
  <c r="P66" i="56"/>
  <c r="P65" i="56"/>
  <c r="P64" i="56"/>
  <c r="P63" i="56"/>
  <c r="N63" i="56"/>
  <c r="P62" i="56"/>
  <c r="P61" i="56"/>
  <c r="P60" i="56"/>
  <c r="P59" i="56"/>
  <c r="P58" i="56"/>
  <c r="P57" i="56"/>
  <c r="P56" i="56"/>
  <c r="P55" i="56"/>
  <c r="P54" i="56"/>
  <c r="N54" i="56"/>
  <c r="P53" i="56"/>
  <c r="P52" i="56"/>
  <c r="N52" i="56"/>
  <c r="P51" i="56"/>
  <c r="P50" i="56"/>
  <c r="P49" i="56"/>
  <c r="P48" i="56"/>
  <c r="P47" i="56"/>
  <c r="P46" i="56"/>
  <c r="P45" i="56"/>
  <c r="P44" i="56"/>
  <c r="P43" i="56"/>
  <c r="P42" i="56"/>
  <c r="P41" i="56"/>
  <c r="P40" i="56"/>
  <c r="P39" i="56"/>
  <c r="P38" i="56"/>
  <c r="P37" i="56"/>
  <c r="P36" i="56"/>
  <c r="P35" i="56"/>
  <c r="P34" i="56"/>
  <c r="P33" i="56"/>
  <c r="P32" i="56"/>
  <c r="P31" i="56"/>
  <c r="P30" i="56"/>
  <c r="P29" i="56"/>
  <c r="P28" i="56"/>
  <c r="P27" i="56"/>
  <c r="P26" i="56"/>
  <c r="P25" i="56"/>
  <c r="P24" i="56"/>
  <c r="P23" i="56"/>
  <c r="P22" i="56"/>
  <c r="P21" i="56"/>
  <c r="P20" i="56"/>
  <c r="P19" i="56"/>
  <c r="P18" i="56"/>
  <c r="P17" i="56"/>
  <c r="P16" i="56"/>
  <c r="P15" i="56"/>
  <c r="P14" i="56"/>
  <c r="P13" i="56"/>
  <c r="P12" i="56"/>
  <c r="N12" i="56"/>
  <c r="P11" i="56"/>
  <c r="P10" i="56"/>
  <c r="P9" i="56"/>
  <c r="P8" i="56"/>
  <c r="P7" i="56"/>
  <c r="P6" i="56"/>
  <c r="P5" i="56"/>
  <c r="P4" i="56"/>
  <c r="N4" i="56"/>
  <c r="B8" i="57" l="1"/>
  <c r="N51" i="56"/>
  <c r="N71" i="56"/>
  <c r="N41" i="56"/>
  <c r="N65" i="56"/>
  <c r="N75" i="56"/>
  <c r="N121" i="56"/>
  <c r="N14" i="56"/>
  <c r="N35" i="56"/>
  <c r="N85" i="56"/>
  <c r="N81" i="56"/>
  <c r="N99" i="56"/>
  <c r="N117" i="56"/>
  <c r="N135" i="56"/>
  <c r="N153" i="56"/>
  <c r="E200" i="55" l="1"/>
  <c r="K199" i="55"/>
  <c r="K199" i="56" s="1"/>
  <c r="L199" i="56" s="1"/>
  <c r="K198" i="55"/>
  <c r="K198" i="56" s="1"/>
  <c r="L198" i="56" s="1"/>
  <c r="K197" i="55"/>
  <c r="K197" i="56" s="1"/>
  <c r="L197" i="56" s="1"/>
  <c r="K196" i="55"/>
  <c r="K196" i="56" s="1"/>
  <c r="L196" i="56" s="1"/>
  <c r="K195" i="55"/>
  <c r="K195" i="56" s="1"/>
  <c r="L195" i="56" s="1"/>
  <c r="K194" i="55"/>
  <c r="K194" i="56" s="1"/>
  <c r="L194" i="56" s="1"/>
  <c r="K193" i="55"/>
  <c r="K193" i="56" s="1"/>
  <c r="L193" i="56" s="1"/>
  <c r="K192" i="55"/>
  <c r="K192" i="56" s="1"/>
  <c r="L192" i="56" s="1"/>
  <c r="K191" i="55"/>
  <c r="K191" i="56" s="1"/>
  <c r="L191" i="56" s="1"/>
  <c r="K190" i="55"/>
  <c r="K190" i="56" s="1"/>
  <c r="L190" i="56" s="1"/>
  <c r="K189" i="55"/>
  <c r="K189" i="56" s="1"/>
  <c r="L189" i="56" s="1"/>
  <c r="K188" i="55"/>
  <c r="K188" i="56" s="1"/>
  <c r="L188" i="56" s="1"/>
  <c r="K187" i="55"/>
  <c r="K187" i="56" s="1"/>
  <c r="L187" i="56" s="1"/>
  <c r="K186" i="55"/>
  <c r="K186" i="56" s="1"/>
  <c r="L186" i="56" s="1"/>
  <c r="K185" i="55"/>
  <c r="K185" i="56" s="1"/>
  <c r="L185" i="56" s="1"/>
  <c r="K184" i="55"/>
  <c r="K184" i="56" s="1"/>
  <c r="L184" i="56" s="1"/>
  <c r="K183" i="55"/>
  <c r="K183" i="56" s="1"/>
  <c r="L183" i="56" s="1"/>
  <c r="K182" i="55"/>
  <c r="K182" i="56" s="1"/>
  <c r="L182" i="56" s="1"/>
  <c r="K181" i="55"/>
  <c r="K181" i="56" s="1"/>
  <c r="L181" i="56" s="1"/>
  <c r="K180" i="55"/>
  <c r="K180" i="56" s="1"/>
  <c r="L180" i="56" s="1"/>
  <c r="K179" i="55"/>
  <c r="K179" i="56" s="1"/>
  <c r="L179" i="56" s="1"/>
  <c r="K178" i="55"/>
  <c r="K178" i="56" s="1"/>
  <c r="L178" i="56" s="1"/>
  <c r="K177" i="55"/>
  <c r="K177" i="56" s="1"/>
  <c r="L177" i="56" s="1"/>
  <c r="K176" i="55"/>
  <c r="K176" i="56" s="1"/>
  <c r="L176" i="56" s="1"/>
  <c r="K175" i="55"/>
  <c r="K175" i="56" s="1"/>
  <c r="L175" i="56" s="1"/>
  <c r="K174" i="55"/>
  <c r="K174" i="56" s="1"/>
  <c r="L174" i="56" s="1"/>
  <c r="K173" i="55"/>
  <c r="K173" i="56" s="1"/>
  <c r="L173" i="56" s="1"/>
  <c r="K172" i="55"/>
  <c r="K172" i="56" s="1"/>
  <c r="L172" i="56" s="1"/>
  <c r="K171" i="55"/>
  <c r="K171" i="56" s="1"/>
  <c r="L171" i="56" s="1"/>
  <c r="K170" i="55"/>
  <c r="K170" i="56" s="1"/>
  <c r="L170" i="56" s="1"/>
  <c r="K169" i="55"/>
  <c r="K169" i="56" s="1"/>
  <c r="L169" i="56" s="1"/>
  <c r="K168" i="55"/>
  <c r="K168" i="56" s="1"/>
  <c r="L168" i="56" s="1"/>
  <c r="K167" i="55"/>
  <c r="K167" i="56" s="1"/>
  <c r="L167" i="56" s="1"/>
  <c r="K166" i="55"/>
  <c r="K166" i="56" s="1"/>
  <c r="L166" i="56" s="1"/>
  <c r="K165" i="55"/>
  <c r="K165" i="56" s="1"/>
  <c r="L165" i="56" s="1"/>
  <c r="K164" i="55"/>
  <c r="K164" i="56" s="1"/>
  <c r="L164" i="56" s="1"/>
  <c r="K163" i="55"/>
  <c r="K163" i="56" s="1"/>
  <c r="L163" i="56" s="1"/>
  <c r="K162" i="55"/>
  <c r="K162" i="56" s="1"/>
  <c r="L162" i="56" s="1"/>
  <c r="K161" i="55"/>
  <c r="K161" i="56" s="1"/>
  <c r="L161" i="56" s="1"/>
  <c r="K160" i="55"/>
  <c r="K160" i="56" s="1"/>
  <c r="L160" i="56" s="1"/>
  <c r="K159" i="55"/>
  <c r="K159" i="56" s="1"/>
  <c r="L159" i="56" s="1"/>
  <c r="K158" i="55"/>
  <c r="K158" i="56" s="1"/>
  <c r="L158" i="56" s="1"/>
  <c r="K157" i="55"/>
  <c r="K157" i="56" s="1"/>
  <c r="L157" i="56" s="1"/>
  <c r="K156" i="55"/>
  <c r="K156" i="56" s="1"/>
  <c r="L156" i="56" s="1"/>
  <c r="K155" i="55"/>
  <c r="K155" i="56" s="1"/>
  <c r="L155" i="56" s="1"/>
  <c r="K154" i="55"/>
  <c r="K154" i="56" s="1"/>
  <c r="L154" i="56" s="1"/>
  <c r="K153" i="55"/>
  <c r="K153" i="56" s="1"/>
  <c r="L153" i="56" s="1"/>
  <c r="K152" i="55"/>
  <c r="K152" i="56" s="1"/>
  <c r="L152" i="56" s="1"/>
  <c r="K151" i="55"/>
  <c r="K151" i="56" s="1"/>
  <c r="L151" i="56" s="1"/>
  <c r="K150" i="55"/>
  <c r="K150" i="56" s="1"/>
  <c r="L150" i="56" s="1"/>
  <c r="K149" i="55"/>
  <c r="K149" i="56" s="1"/>
  <c r="L149" i="56" s="1"/>
  <c r="K148" i="55"/>
  <c r="K148" i="56" s="1"/>
  <c r="L148" i="56" s="1"/>
  <c r="K147" i="55"/>
  <c r="K147" i="56" s="1"/>
  <c r="L147" i="56" s="1"/>
  <c r="K146" i="55"/>
  <c r="K146" i="56" s="1"/>
  <c r="L146" i="56" s="1"/>
  <c r="K145" i="55"/>
  <c r="K145" i="56" s="1"/>
  <c r="L145" i="56" s="1"/>
  <c r="K144" i="55"/>
  <c r="K144" i="56" s="1"/>
  <c r="L144" i="56" s="1"/>
  <c r="K143" i="55"/>
  <c r="K143" i="56" s="1"/>
  <c r="L143" i="56" s="1"/>
  <c r="K142" i="55"/>
  <c r="K142" i="56" s="1"/>
  <c r="L142" i="56" s="1"/>
  <c r="K141" i="55"/>
  <c r="K141" i="56" s="1"/>
  <c r="L141" i="56" s="1"/>
  <c r="K140" i="55"/>
  <c r="K140" i="56" s="1"/>
  <c r="L140" i="56" s="1"/>
  <c r="K139" i="55"/>
  <c r="K139" i="56" s="1"/>
  <c r="L139" i="56" s="1"/>
  <c r="K138" i="55"/>
  <c r="K138" i="56" s="1"/>
  <c r="L138" i="56" s="1"/>
  <c r="K137" i="55"/>
  <c r="K137" i="56" s="1"/>
  <c r="L137" i="56" s="1"/>
  <c r="K136" i="55"/>
  <c r="K136" i="56" s="1"/>
  <c r="L136" i="56" s="1"/>
  <c r="K135" i="55"/>
  <c r="K135" i="56" s="1"/>
  <c r="L135" i="56" s="1"/>
  <c r="K134" i="55"/>
  <c r="K134" i="56" s="1"/>
  <c r="L134" i="56" s="1"/>
  <c r="K133" i="55"/>
  <c r="K133" i="56" s="1"/>
  <c r="L133" i="56" s="1"/>
  <c r="K132" i="55"/>
  <c r="K132" i="56" s="1"/>
  <c r="L132" i="56" s="1"/>
  <c r="K131" i="55"/>
  <c r="K131" i="56" s="1"/>
  <c r="L131" i="56" s="1"/>
  <c r="K130" i="55"/>
  <c r="K130" i="56" s="1"/>
  <c r="L130" i="56" s="1"/>
  <c r="K129" i="55"/>
  <c r="K129" i="56" s="1"/>
  <c r="L129" i="56" s="1"/>
  <c r="K128" i="55"/>
  <c r="K128" i="56" s="1"/>
  <c r="L128" i="56" s="1"/>
  <c r="K127" i="55"/>
  <c r="K127" i="56" s="1"/>
  <c r="L127" i="56" s="1"/>
  <c r="K126" i="55"/>
  <c r="K126" i="56" s="1"/>
  <c r="L126" i="56" s="1"/>
  <c r="K125" i="55"/>
  <c r="K125" i="56" s="1"/>
  <c r="L125" i="56" s="1"/>
  <c r="K124" i="55"/>
  <c r="K124" i="56" s="1"/>
  <c r="L124" i="56" s="1"/>
  <c r="K123" i="55"/>
  <c r="K123" i="56" s="1"/>
  <c r="L123" i="56" s="1"/>
  <c r="K122" i="55"/>
  <c r="K122" i="56" s="1"/>
  <c r="L122" i="56" s="1"/>
  <c r="K121" i="55"/>
  <c r="K121" i="56" s="1"/>
  <c r="L121" i="56" s="1"/>
  <c r="K120" i="55"/>
  <c r="K120" i="56" s="1"/>
  <c r="L120" i="56" s="1"/>
  <c r="K119" i="55"/>
  <c r="K119" i="56" s="1"/>
  <c r="L119" i="56" s="1"/>
  <c r="K118" i="55"/>
  <c r="K118" i="56" s="1"/>
  <c r="L118" i="56" s="1"/>
  <c r="K117" i="55"/>
  <c r="K117" i="56" s="1"/>
  <c r="L117" i="56" s="1"/>
  <c r="K116" i="55"/>
  <c r="K116" i="56" s="1"/>
  <c r="L116" i="56" s="1"/>
  <c r="K115" i="55"/>
  <c r="K115" i="56" s="1"/>
  <c r="L115" i="56" s="1"/>
  <c r="K114" i="55"/>
  <c r="K114" i="56" s="1"/>
  <c r="L114" i="56" s="1"/>
  <c r="K113" i="55"/>
  <c r="K113" i="56" s="1"/>
  <c r="L113" i="56" s="1"/>
  <c r="K112" i="55"/>
  <c r="K112" i="56" s="1"/>
  <c r="L112" i="56" s="1"/>
  <c r="K111" i="55"/>
  <c r="K111" i="56" s="1"/>
  <c r="L111" i="56" s="1"/>
  <c r="K110" i="55"/>
  <c r="K110" i="56" s="1"/>
  <c r="L110" i="56" s="1"/>
  <c r="K109" i="55"/>
  <c r="K109" i="56" s="1"/>
  <c r="L109" i="56" s="1"/>
  <c r="K108" i="55"/>
  <c r="K108" i="56" s="1"/>
  <c r="L108" i="56" s="1"/>
  <c r="K107" i="55"/>
  <c r="K107" i="56" s="1"/>
  <c r="L107" i="56" s="1"/>
  <c r="K106" i="55"/>
  <c r="K106" i="56" s="1"/>
  <c r="L106" i="56" s="1"/>
  <c r="K105" i="55"/>
  <c r="K105" i="56" s="1"/>
  <c r="L105" i="56" s="1"/>
  <c r="K104" i="55"/>
  <c r="K104" i="56" s="1"/>
  <c r="L104" i="56" s="1"/>
  <c r="K103" i="55"/>
  <c r="K103" i="56" s="1"/>
  <c r="L103" i="56" s="1"/>
  <c r="K102" i="55"/>
  <c r="K102" i="56" s="1"/>
  <c r="L102" i="56" s="1"/>
  <c r="K101" i="55"/>
  <c r="K101" i="56" s="1"/>
  <c r="L101" i="56" s="1"/>
  <c r="K100" i="55"/>
  <c r="K100" i="56" s="1"/>
  <c r="L100" i="56" s="1"/>
  <c r="K99" i="55"/>
  <c r="K99" i="56" s="1"/>
  <c r="L99" i="56" s="1"/>
  <c r="K98" i="55"/>
  <c r="K98" i="56" s="1"/>
  <c r="L98" i="56" s="1"/>
  <c r="K97" i="55"/>
  <c r="K97" i="56" s="1"/>
  <c r="L97" i="56" s="1"/>
  <c r="K96" i="55"/>
  <c r="K96" i="56" s="1"/>
  <c r="L96" i="56" s="1"/>
  <c r="K95" i="55"/>
  <c r="K95" i="56" s="1"/>
  <c r="L95" i="56" s="1"/>
  <c r="K94" i="55"/>
  <c r="K94" i="56" s="1"/>
  <c r="L94" i="56" s="1"/>
  <c r="K93" i="55"/>
  <c r="K93" i="56" s="1"/>
  <c r="L93" i="56" s="1"/>
  <c r="K92" i="55"/>
  <c r="K92" i="56" s="1"/>
  <c r="L92" i="56" s="1"/>
  <c r="K91" i="55"/>
  <c r="K91" i="56" s="1"/>
  <c r="L91" i="56" s="1"/>
  <c r="K90" i="55"/>
  <c r="K90" i="56" s="1"/>
  <c r="L90" i="56" s="1"/>
  <c r="K89" i="55"/>
  <c r="K89" i="56" s="1"/>
  <c r="L89" i="56" s="1"/>
  <c r="K88" i="55"/>
  <c r="K88" i="56" s="1"/>
  <c r="L88" i="56" s="1"/>
  <c r="K87" i="55"/>
  <c r="K87" i="56" s="1"/>
  <c r="L87" i="56" s="1"/>
  <c r="K86" i="55"/>
  <c r="K86" i="56" s="1"/>
  <c r="L86" i="56" s="1"/>
  <c r="K85" i="55"/>
  <c r="K85" i="56" s="1"/>
  <c r="L85" i="56" s="1"/>
  <c r="K84" i="55"/>
  <c r="K84" i="56" s="1"/>
  <c r="L84" i="56" s="1"/>
  <c r="K83" i="55"/>
  <c r="K83" i="56" s="1"/>
  <c r="L83" i="56" s="1"/>
  <c r="K82" i="55"/>
  <c r="K82" i="56" s="1"/>
  <c r="L82" i="56" s="1"/>
  <c r="K81" i="55"/>
  <c r="K81" i="56" s="1"/>
  <c r="L81" i="56" s="1"/>
  <c r="K80" i="55"/>
  <c r="K80" i="56" s="1"/>
  <c r="L80" i="56" s="1"/>
  <c r="K79" i="55"/>
  <c r="K79" i="56" s="1"/>
  <c r="L79" i="56" s="1"/>
  <c r="K78" i="55"/>
  <c r="K78" i="56" s="1"/>
  <c r="L78" i="56" s="1"/>
  <c r="K77" i="55"/>
  <c r="K77" i="56" s="1"/>
  <c r="L77" i="56" s="1"/>
  <c r="K76" i="55"/>
  <c r="K76" i="56" s="1"/>
  <c r="L76" i="56" s="1"/>
  <c r="K75" i="55"/>
  <c r="K75" i="56" s="1"/>
  <c r="L75" i="56" s="1"/>
  <c r="K74" i="55"/>
  <c r="K74" i="56" s="1"/>
  <c r="L74" i="56" s="1"/>
  <c r="K73" i="55"/>
  <c r="K73" i="56" s="1"/>
  <c r="L73" i="56" s="1"/>
  <c r="K72" i="55"/>
  <c r="K72" i="56" s="1"/>
  <c r="L72" i="56" s="1"/>
  <c r="K71" i="55"/>
  <c r="K71" i="56" s="1"/>
  <c r="L71" i="56" s="1"/>
  <c r="K70" i="55"/>
  <c r="K70" i="56" s="1"/>
  <c r="L70" i="56" s="1"/>
  <c r="K69" i="55"/>
  <c r="K69" i="56" s="1"/>
  <c r="L69" i="56" s="1"/>
  <c r="K68" i="55"/>
  <c r="K68" i="56" s="1"/>
  <c r="L68" i="56" s="1"/>
  <c r="K67" i="55"/>
  <c r="K67" i="56" s="1"/>
  <c r="L67" i="56" s="1"/>
  <c r="K66" i="55"/>
  <c r="K66" i="56" s="1"/>
  <c r="L66" i="56" s="1"/>
  <c r="K65" i="55"/>
  <c r="K65" i="56" s="1"/>
  <c r="L65" i="56" s="1"/>
  <c r="K64" i="55"/>
  <c r="K64" i="56" s="1"/>
  <c r="L64" i="56" s="1"/>
  <c r="K63" i="55"/>
  <c r="K63" i="56" s="1"/>
  <c r="L63" i="56" s="1"/>
  <c r="K62" i="55"/>
  <c r="K62" i="56" s="1"/>
  <c r="L62" i="56" s="1"/>
  <c r="K61" i="55"/>
  <c r="K61" i="56" s="1"/>
  <c r="L61" i="56" s="1"/>
  <c r="K60" i="55"/>
  <c r="K60" i="56" s="1"/>
  <c r="L60" i="56" s="1"/>
  <c r="K59" i="55"/>
  <c r="K59" i="56" s="1"/>
  <c r="L59" i="56" s="1"/>
  <c r="K58" i="55"/>
  <c r="K58" i="56" s="1"/>
  <c r="L58" i="56" s="1"/>
  <c r="K57" i="55"/>
  <c r="K57" i="56" s="1"/>
  <c r="L57" i="56" s="1"/>
  <c r="K56" i="55"/>
  <c r="K56" i="56" s="1"/>
  <c r="L56" i="56" s="1"/>
  <c r="K55" i="55"/>
  <c r="K55" i="56" s="1"/>
  <c r="L55" i="56" s="1"/>
  <c r="K54" i="55"/>
  <c r="K54" i="56" s="1"/>
  <c r="L54" i="56" s="1"/>
  <c r="K53" i="55"/>
  <c r="K53" i="56" s="1"/>
  <c r="L53" i="56" s="1"/>
  <c r="K52" i="55"/>
  <c r="K52" i="56" s="1"/>
  <c r="L52" i="56" s="1"/>
  <c r="K51" i="55"/>
  <c r="K51" i="56" s="1"/>
  <c r="L51" i="56" s="1"/>
  <c r="K50" i="55"/>
  <c r="K50" i="56" s="1"/>
  <c r="L50" i="56" s="1"/>
  <c r="K49" i="55"/>
  <c r="K49" i="56" s="1"/>
  <c r="L49" i="56" s="1"/>
  <c r="K48" i="55"/>
  <c r="K48" i="56" s="1"/>
  <c r="L48" i="56" s="1"/>
  <c r="K47" i="55"/>
  <c r="K47" i="56" s="1"/>
  <c r="L47" i="56" s="1"/>
  <c r="K46" i="55"/>
  <c r="K46" i="56" s="1"/>
  <c r="L46" i="56" s="1"/>
  <c r="K45" i="55"/>
  <c r="K45" i="56" s="1"/>
  <c r="L45" i="56" s="1"/>
  <c r="K44" i="55"/>
  <c r="K44" i="56" s="1"/>
  <c r="L44" i="56" s="1"/>
  <c r="K43" i="55"/>
  <c r="K43" i="56" s="1"/>
  <c r="L43" i="56" s="1"/>
  <c r="K42" i="55"/>
  <c r="K42" i="56" s="1"/>
  <c r="L42" i="56" s="1"/>
  <c r="K41" i="55"/>
  <c r="K41" i="56" s="1"/>
  <c r="L41" i="56" s="1"/>
  <c r="K40" i="55"/>
  <c r="K40" i="56" s="1"/>
  <c r="L40" i="56" s="1"/>
  <c r="K39" i="55"/>
  <c r="K39" i="56" s="1"/>
  <c r="L39" i="56" s="1"/>
  <c r="K38" i="55"/>
  <c r="K38" i="56" s="1"/>
  <c r="L38" i="56" s="1"/>
  <c r="K37" i="55"/>
  <c r="K37" i="56" s="1"/>
  <c r="L37" i="56" s="1"/>
  <c r="K36" i="55"/>
  <c r="K36" i="56" s="1"/>
  <c r="L36" i="56" s="1"/>
  <c r="K35" i="55"/>
  <c r="K35" i="56" s="1"/>
  <c r="L35" i="56" s="1"/>
  <c r="K34" i="55"/>
  <c r="K34" i="56" s="1"/>
  <c r="L34" i="56" s="1"/>
  <c r="K33" i="55"/>
  <c r="K33" i="56" s="1"/>
  <c r="L33" i="56" s="1"/>
  <c r="K32" i="55"/>
  <c r="K32" i="56" s="1"/>
  <c r="L32" i="56" s="1"/>
  <c r="K31" i="55"/>
  <c r="K31" i="56" s="1"/>
  <c r="L31" i="56" s="1"/>
  <c r="K30" i="55"/>
  <c r="K30" i="56" s="1"/>
  <c r="L30" i="56" s="1"/>
  <c r="K29" i="55"/>
  <c r="K29" i="56" s="1"/>
  <c r="L29" i="56" s="1"/>
  <c r="K28" i="55"/>
  <c r="K28" i="56" s="1"/>
  <c r="L28" i="56" s="1"/>
  <c r="K27" i="55"/>
  <c r="K27" i="56" s="1"/>
  <c r="L27" i="56" s="1"/>
  <c r="K26" i="55"/>
  <c r="K26" i="56" s="1"/>
  <c r="L26" i="56" s="1"/>
  <c r="K25" i="55"/>
  <c r="K25" i="56" s="1"/>
  <c r="L25" i="56" s="1"/>
  <c r="K24" i="55"/>
  <c r="K24" i="56" s="1"/>
  <c r="L24" i="56" s="1"/>
  <c r="K23" i="55"/>
  <c r="K23" i="56" s="1"/>
  <c r="L23" i="56" s="1"/>
  <c r="K22" i="55"/>
  <c r="K22" i="56" s="1"/>
  <c r="L22" i="56" s="1"/>
  <c r="K21" i="55"/>
  <c r="K21" i="56" s="1"/>
  <c r="L21" i="56" s="1"/>
  <c r="K20" i="55"/>
  <c r="K20" i="56" s="1"/>
  <c r="L20" i="56" s="1"/>
  <c r="K19" i="55"/>
  <c r="K19" i="56" s="1"/>
  <c r="L19" i="56" s="1"/>
  <c r="K18" i="55"/>
  <c r="K18" i="56" s="1"/>
  <c r="L18" i="56" s="1"/>
  <c r="K17" i="55"/>
  <c r="K17" i="56" s="1"/>
  <c r="L17" i="56" s="1"/>
  <c r="K16" i="55"/>
  <c r="K16" i="56" s="1"/>
  <c r="L16" i="56" s="1"/>
  <c r="K15" i="55"/>
  <c r="K15" i="56" s="1"/>
  <c r="L15" i="56" s="1"/>
  <c r="K14" i="55"/>
  <c r="K14" i="56" s="1"/>
  <c r="L14" i="56" s="1"/>
  <c r="K13" i="55"/>
  <c r="K13" i="56" s="1"/>
  <c r="L13" i="56" s="1"/>
  <c r="K12" i="55"/>
  <c r="K12" i="56" s="1"/>
  <c r="L12" i="56" s="1"/>
  <c r="K11" i="55"/>
  <c r="K11" i="56" s="1"/>
  <c r="L11" i="56" s="1"/>
  <c r="K10" i="55"/>
  <c r="K10" i="56" s="1"/>
  <c r="L10" i="56" s="1"/>
  <c r="K9" i="55"/>
  <c r="K9" i="56" s="1"/>
  <c r="L9" i="56" s="1"/>
  <c r="K8" i="55"/>
  <c r="K8" i="56" s="1"/>
  <c r="L8" i="56" s="1"/>
  <c r="K7" i="55"/>
  <c r="K7" i="56" s="1"/>
  <c r="L7" i="56" s="1"/>
  <c r="K6" i="55"/>
  <c r="K6" i="56" s="1"/>
  <c r="L6" i="56" s="1"/>
  <c r="K5" i="55"/>
  <c r="K5" i="56" s="1"/>
  <c r="L5" i="56" s="1"/>
  <c r="K4" i="55"/>
  <c r="K4" i="56" s="1"/>
  <c r="L4" i="56" s="1"/>
  <c r="K3" i="55"/>
  <c r="K3" i="56" s="1"/>
  <c r="L3" i="56" s="1"/>
  <c r="N184" i="55" l="1"/>
  <c r="P184" i="55" s="1"/>
  <c r="E200" i="56"/>
  <c r="N18" i="55"/>
  <c r="P18" i="55" s="1"/>
  <c r="N100" i="55"/>
  <c r="P100" i="55" s="1"/>
  <c r="N156" i="55"/>
  <c r="P156" i="55" s="1"/>
  <c r="N192" i="55"/>
  <c r="P192" i="55" s="1"/>
  <c r="N5" i="55"/>
  <c r="P5" i="55" s="1"/>
  <c r="N43" i="55"/>
  <c r="P43" i="55" s="1"/>
  <c r="N83" i="55"/>
  <c r="P83" i="55" s="1"/>
  <c r="N27" i="55"/>
  <c r="P27" i="55" s="1"/>
  <c r="N67" i="55"/>
  <c r="P67" i="55" s="1"/>
  <c r="N37" i="55"/>
  <c r="P37" i="55" s="1"/>
  <c r="N14" i="55"/>
  <c r="P14" i="55" s="1"/>
  <c r="N28" i="55"/>
  <c r="P28" i="55" s="1"/>
  <c r="N120" i="55"/>
  <c r="P120" i="55" s="1"/>
  <c r="N78" i="55"/>
  <c r="P78" i="55" s="1"/>
  <c r="N160" i="55"/>
  <c r="P160" i="55" s="1"/>
  <c r="N23" i="55"/>
  <c r="P23" i="55" s="1"/>
  <c r="N46" i="55"/>
  <c r="O46" i="55" s="1"/>
  <c r="N62" i="55"/>
  <c r="P62" i="55" s="1"/>
  <c r="N104" i="55"/>
  <c r="P104" i="55" s="1"/>
  <c r="N9" i="55"/>
  <c r="P9" i="55" s="1"/>
  <c r="N39" i="55"/>
  <c r="P39" i="55" s="1"/>
  <c r="N54" i="55"/>
  <c r="P54" i="55" s="1"/>
  <c r="N70" i="55"/>
  <c r="P70" i="55" s="1"/>
  <c r="N79" i="55"/>
  <c r="P79" i="55" s="1"/>
  <c r="N87" i="55"/>
  <c r="P87" i="55" s="1"/>
  <c r="N180" i="55"/>
  <c r="P180" i="55" s="1"/>
  <c r="N11" i="55"/>
  <c r="P11" i="55" s="1"/>
  <c r="N25" i="55"/>
  <c r="P25" i="55" s="1"/>
  <c r="N107" i="55"/>
  <c r="P107" i="55" s="1"/>
  <c r="N191" i="55"/>
  <c r="P191" i="55" s="1"/>
  <c r="N4" i="55"/>
  <c r="P4" i="55" s="1"/>
  <c r="N42" i="55"/>
  <c r="O42" i="55" s="1"/>
  <c r="N136" i="55"/>
  <c r="O136" i="55" s="1"/>
  <c r="N12" i="55"/>
  <c r="P12" i="55" s="1"/>
  <c r="N50" i="55"/>
  <c r="O50" i="55" s="1"/>
  <c r="N66" i="55"/>
  <c r="P66" i="55" s="1"/>
  <c r="N91" i="55"/>
  <c r="P91" i="55" s="1"/>
  <c r="N166" i="55"/>
  <c r="P166" i="55" s="1"/>
  <c r="N175" i="55"/>
  <c r="P175" i="55" s="1"/>
  <c r="N13" i="55"/>
  <c r="P13" i="55" s="1"/>
  <c r="N51" i="55"/>
  <c r="P51" i="55" s="1"/>
  <c r="N76" i="55"/>
  <c r="P76" i="55" s="1"/>
  <c r="N110" i="55"/>
  <c r="P110" i="55" s="1"/>
  <c r="N44" i="55"/>
  <c r="P44" i="55" s="1"/>
  <c r="N194" i="55"/>
  <c r="P194" i="55" s="1"/>
  <c r="N7" i="55"/>
  <c r="P7" i="55" s="1"/>
  <c r="N85" i="55"/>
  <c r="P85" i="55" s="1"/>
  <c r="N111" i="55"/>
  <c r="P111" i="55" s="1"/>
  <c r="N38" i="55"/>
  <c r="P38" i="55" s="1"/>
  <c r="N69" i="55"/>
  <c r="P69" i="55" s="1"/>
  <c r="N151" i="55"/>
  <c r="O151" i="55" s="1"/>
  <c r="N170" i="55"/>
  <c r="P170" i="55" s="1"/>
  <c r="N179" i="55"/>
  <c r="P179" i="55" s="1"/>
  <c r="N15" i="55"/>
  <c r="O15" i="55" s="1"/>
  <c r="N96" i="55"/>
  <c r="P96" i="55" s="1"/>
  <c r="N196" i="55"/>
  <c r="P196" i="55" s="1"/>
  <c r="N16" i="55"/>
  <c r="P16" i="55" s="1"/>
  <c r="N24" i="55"/>
  <c r="P24" i="55" s="1"/>
  <c r="N31" i="55"/>
  <c r="P31" i="55" s="1"/>
  <c r="N172" i="55"/>
  <c r="P172" i="55" s="1"/>
  <c r="N17" i="55"/>
  <c r="P17" i="55" s="1"/>
  <c r="N81" i="55"/>
  <c r="P81" i="55" s="1"/>
  <c r="N182" i="55"/>
  <c r="P182" i="55" s="1"/>
  <c r="N26" i="55"/>
  <c r="P26" i="55" s="1"/>
  <c r="N117" i="55"/>
  <c r="O117" i="55" s="1"/>
  <c r="N59" i="55"/>
  <c r="P59" i="55" s="1"/>
  <c r="N138" i="55"/>
  <c r="O138" i="55" s="1"/>
  <c r="N102" i="55"/>
  <c r="P102" i="55" s="1"/>
  <c r="N186" i="55"/>
  <c r="P186" i="55" s="1"/>
  <c r="N52" i="55"/>
  <c r="P52" i="55" s="1"/>
  <c r="N139" i="55"/>
  <c r="P139" i="55" s="1"/>
  <c r="N187" i="55"/>
  <c r="P187" i="55" s="1"/>
  <c r="N3" i="55"/>
  <c r="O3" i="55" s="1"/>
  <c r="N48" i="55"/>
  <c r="O48" i="55" s="1"/>
  <c r="N55" i="55"/>
  <c r="P55" i="55" s="1"/>
  <c r="N64" i="55"/>
  <c r="P64" i="55" s="1"/>
  <c r="N98" i="55"/>
  <c r="P98" i="55" s="1"/>
  <c r="N115" i="55"/>
  <c r="P115" i="55" s="1"/>
  <c r="N154" i="55"/>
  <c r="P154" i="55" s="1"/>
  <c r="N193" i="55"/>
  <c r="P193" i="55" s="1"/>
  <c r="O23" i="55"/>
  <c r="N20" i="55"/>
  <c r="P20" i="55" s="1"/>
  <c r="N29" i="55"/>
  <c r="O29" i="55" s="1"/>
  <c r="N35" i="55"/>
  <c r="P35" i="55" s="1"/>
  <c r="N40" i="55"/>
  <c r="P40" i="55" s="1"/>
  <c r="N56" i="55"/>
  <c r="P56" i="55" s="1"/>
  <c r="N68" i="55"/>
  <c r="P68" i="55" s="1"/>
  <c r="N74" i="55"/>
  <c r="P74" i="55" s="1"/>
  <c r="N94" i="55"/>
  <c r="O94" i="55" s="1"/>
  <c r="N140" i="55"/>
  <c r="O140" i="55" s="1"/>
  <c r="N57" i="55"/>
  <c r="N72" i="55"/>
  <c r="P72" i="55" s="1"/>
  <c r="N112" i="55"/>
  <c r="P112" i="55" s="1"/>
  <c r="N141" i="55"/>
  <c r="O141" i="55" s="1"/>
  <c r="N147" i="55"/>
  <c r="P147" i="55" s="1"/>
  <c r="N158" i="55"/>
  <c r="P158" i="55" s="1"/>
  <c r="N162" i="55"/>
  <c r="P162" i="55" s="1"/>
  <c r="N188" i="55"/>
  <c r="P188" i="55" s="1"/>
  <c r="N198" i="55"/>
  <c r="P198" i="55" s="1"/>
  <c r="N134" i="55"/>
  <c r="O134" i="55" s="1"/>
  <c r="N163" i="55"/>
  <c r="P163" i="55" s="1"/>
  <c r="N168" i="55"/>
  <c r="P168" i="55" s="1"/>
  <c r="N99" i="55"/>
  <c r="P99" i="55" s="1"/>
  <c r="N109" i="55"/>
  <c r="P109" i="55" s="1"/>
  <c r="N114" i="55"/>
  <c r="P114" i="55" s="1"/>
  <c r="N159" i="55"/>
  <c r="P159" i="55" s="1"/>
  <c r="N174" i="55"/>
  <c r="P174" i="55" s="1"/>
  <c r="K200" i="55"/>
  <c r="N33" i="55"/>
  <c r="P33" i="55" s="1"/>
  <c r="N61" i="55"/>
  <c r="P61" i="55" s="1"/>
  <c r="N63" i="55"/>
  <c r="N80" i="55"/>
  <c r="P80" i="55" s="1"/>
  <c r="N93" i="55"/>
  <c r="N197" i="55"/>
  <c r="P197" i="55" s="1"/>
  <c r="N185" i="55"/>
  <c r="P185" i="55" s="1"/>
  <c r="N173" i="55"/>
  <c r="P173" i="55" s="1"/>
  <c r="N161" i="55"/>
  <c r="P161" i="55" s="1"/>
  <c r="N137" i="55"/>
  <c r="N113" i="55"/>
  <c r="N101" i="55"/>
  <c r="N89" i="55"/>
  <c r="N77" i="55"/>
  <c r="P77" i="55" s="1"/>
  <c r="N65" i="55"/>
  <c r="N53" i="55"/>
  <c r="P53" i="55" s="1"/>
  <c r="N41" i="55"/>
  <c r="N189" i="55"/>
  <c r="P189" i="55" s="1"/>
  <c r="N177" i="55"/>
  <c r="P177" i="55" s="1"/>
  <c r="N165" i="55"/>
  <c r="P165" i="55" s="1"/>
  <c r="N153" i="55"/>
  <c r="N145" i="55"/>
  <c r="P145" i="55" s="1"/>
  <c r="N121" i="55"/>
  <c r="N97" i="55"/>
  <c r="N73" i="55"/>
  <c r="N49" i="55"/>
  <c r="N22" i="55"/>
  <c r="N10" i="55"/>
  <c r="P10" i="55" s="1"/>
  <c r="N143" i="55"/>
  <c r="N132" i="55"/>
  <c r="N119" i="55"/>
  <c r="N108" i="55"/>
  <c r="P108" i="55" s="1"/>
  <c r="N106" i="55"/>
  <c r="P106" i="55" s="1"/>
  <c r="N95" i="55"/>
  <c r="N84" i="55"/>
  <c r="N82" i="55"/>
  <c r="N71" i="55"/>
  <c r="N60" i="55"/>
  <c r="P60" i="55" s="1"/>
  <c r="N58" i="55"/>
  <c r="N47" i="55"/>
  <c r="N36" i="55"/>
  <c r="P36" i="55" s="1"/>
  <c r="N34" i="55"/>
  <c r="P34" i="55" s="1"/>
  <c r="N199" i="55"/>
  <c r="P199" i="55" s="1"/>
  <c r="N6" i="55"/>
  <c r="N30" i="55"/>
  <c r="P30" i="55" s="1"/>
  <c r="N92" i="55"/>
  <c r="P92" i="55" s="1"/>
  <c r="N105" i="55"/>
  <c r="N133" i="55"/>
  <c r="N135" i="55"/>
  <c r="N152" i="55"/>
  <c r="N157" i="55"/>
  <c r="P157" i="55" s="1"/>
  <c r="N171" i="55"/>
  <c r="P171" i="55" s="1"/>
  <c r="N178" i="55"/>
  <c r="P178" i="55" s="1"/>
  <c r="N19" i="55"/>
  <c r="P19" i="55" s="1"/>
  <c r="N75" i="55"/>
  <c r="P75" i="55" s="1"/>
  <c r="N86" i="55"/>
  <c r="P86" i="55" s="1"/>
  <c r="N88" i="55"/>
  <c r="N90" i="55"/>
  <c r="N103" i="55"/>
  <c r="N118" i="55"/>
  <c r="N131" i="55"/>
  <c r="N150" i="55"/>
  <c r="N155" i="55"/>
  <c r="N164" i="55"/>
  <c r="P164" i="55" s="1"/>
  <c r="N169" i="55"/>
  <c r="P169" i="55" s="1"/>
  <c r="N183" i="55"/>
  <c r="P183" i="55" s="1"/>
  <c r="N190" i="55"/>
  <c r="P190" i="55" s="1"/>
  <c r="N8" i="55"/>
  <c r="P8" i="55" s="1"/>
  <c r="N21" i="55"/>
  <c r="N32" i="55"/>
  <c r="P32" i="55" s="1"/>
  <c r="N45" i="55"/>
  <c r="N116" i="55"/>
  <c r="N167" i="55"/>
  <c r="P167" i="55" s="1"/>
  <c r="N176" i="55"/>
  <c r="P176" i="55" s="1"/>
  <c r="N181" i="55"/>
  <c r="P181" i="55" s="1"/>
  <c r="N195" i="55"/>
  <c r="P195" i="55" s="1"/>
  <c r="F64" i="22"/>
  <c r="B51" i="22"/>
  <c r="B55" i="22"/>
  <c r="B54" i="22" s="1"/>
  <c r="B53" i="22"/>
  <c r="B52" i="22" s="1"/>
  <c r="B50" i="22"/>
  <c r="P117" i="55" l="1"/>
  <c r="Q117" i="55" s="1"/>
  <c r="O43" i="55"/>
  <c r="Q43" i="55" s="1"/>
  <c r="P42" i="55"/>
  <c r="Q42" i="55" s="1"/>
  <c r="P136" i="55"/>
  <c r="Q136" i="55" s="1"/>
  <c r="Q23" i="55"/>
  <c r="O120" i="55"/>
  <c r="Q120" i="55" s="1"/>
  <c r="O107" i="55"/>
  <c r="Q107" i="55" s="1"/>
  <c r="P151" i="55"/>
  <c r="Q151" i="55" s="1"/>
  <c r="P15" i="55"/>
  <c r="Q15" i="55" s="1"/>
  <c r="O55" i="55"/>
  <c r="Q55" i="55" s="1"/>
  <c r="O20" i="55"/>
  <c r="Q20" i="55" s="1"/>
  <c r="P3" i="55"/>
  <c r="Q3" i="55" s="1"/>
  <c r="O3" i="56" s="1"/>
  <c r="P3" i="56" s="1"/>
  <c r="O139" i="55"/>
  <c r="Q139" i="55" s="1"/>
  <c r="O100" i="55"/>
  <c r="Q100" i="55" s="1"/>
  <c r="O72" i="55"/>
  <c r="Q72" i="55" s="1"/>
  <c r="O54" i="55"/>
  <c r="Q54" i="55" s="1"/>
  <c r="O64" i="55"/>
  <c r="Q64" i="55" s="1"/>
  <c r="O12" i="55"/>
  <c r="Q12" i="55" s="1"/>
  <c r="P140" i="55"/>
  <c r="Q140" i="55" s="1"/>
  <c r="P138" i="55"/>
  <c r="Q138" i="55" s="1"/>
  <c r="O44" i="55"/>
  <c r="Q44" i="55" s="1"/>
  <c r="O79" i="55"/>
  <c r="Q79" i="55" s="1"/>
  <c r="P50" i="55"/>
  <c r="Q50" i="55" s="1"/>
  <c r="O62" i="55"/>
  <c r="Q62" i="55" s="1"/>
  <c r="O115" i="55"/>
  <c r="Q115" i="55" s="1"/>
  <c r="P46" i="55"/>
  <c r="Q46" i="55" s="1"/>
  <c r="O102" i="55"/>
  <c r="Q102" i="55" s="1"/>
  <c r="P48" i="55"/>
  <c r="Q48" i="55" s="1"/>
  <c r="O83" i="55"/>
  <c r="Q83" i="55" s="1"/>
  <c r="P141" i="55"/>
  <c r="Q141" i="55" s="1"/>
  <c r="P29" i="55"/>
  <c r="Q29" i="55" s="1"/>
  <c r="P134" i="55"/>
  <c r="Q134" i="55" s="1"/>
  <c r="O74" i="55"/>
  <c r="Q74" i="55" s="1"/>
  <c r="P94" i="55"/>
  <c r="Q94" i="55" s="1"/>
  <c r="O147" i="55"/>
  <c r="Q147" i="55" s="1"/>
  <c r="O56" i="55"/>
  <c r="Q56" i="55" s="1"/>
  <c r="O40" i="55"/>
  <c r="Q40" i="55" s="1"/>
  <c r="O112" i="55"/>
  <c r="Q112" i="55" s="1"/>
  <c r="O114" i="55"/>
  <c r="Q114" i="55" s="1"/>
  <c r="O57" i="55"/>
  <c r="P57" i="55"/>
  <c r="O90" i="55"/>
  <c r="P90" i="55"/>
  <c r="P6" i="55"/>
  <c r="O6" i="55"/>
  <c r="P153" i="55"/>
  <c r="O153" i="55"/>
  <c r="P137" i="55"/>
  <c r="O137" i="55"/>
  <c r="O88" i="55"/>
  <c r="P88" i="55"/>
  <c r="O119" i="55"/>
  <c r="P119" i="55"/>
  <c r="O131" i="55"/>
  <c r="P131" i="55"/>
  <c r="P93" i="55"/>
  <c r="O93" i="55"/>
  <c r="O47" i="55"/>
  <c r="P47" i="55"/>
  <c r="O143" i="55"/>
  <c r="P143" i="55"/>
  <c r="P41" i="55"/>
  <c r="O41" i="55"/>
  <c r="O58" i="55"/>
  <c r="P58" i="55"/>
  <c r="P21" i="55"/>
  <c r="O21" i="55"/>
  <c r="P116" i="55"/>
  <c r="O116" i="55"/>
  <c r="P152" i="55"/>
  <c r="O152" i="55"/>
  <c r="O71" i="55"/>
  <c r="P71" i="55"/>
  <c r="P49" i="55"/>
  <c r="O49" i="55"/>
  <c r="O82" i="55"/>
  <c r="P82" i="55"/>
  <c r="P73" i="55"/>
  <c r="O73" i="55"/>
  <c r="P89" i="55"/>
  <c r="O89" i="55"/>
  <c r="O155" i="55"/>
  <c r="P155" i="55"/>
  <c r="O103" i="55"/>
  <c r="P103" i="55"/>
  <c r="P105" i="55"/>
  <c r="O105" i="55"/>
  <c r="O84" i="55"/>
  <c r="P84" i="55"/>
  <c r="P97" i="55"/>
  <c r="O97" i="55"/>
  <c r="O101" i="55"/>
  <c r="P101" i="55"/>
  <c r="P63" i="55"/>
  <c r="O63" i="55"/>
  <c r="P150" i="55"/>
  <c r="O150" i="55"/>
  <c r="O95" i="55"/>
  <c r="P95" i="55"/>
  <c r="P121" i="55"/>
  <c r="O121" i="55"/>
  <c r="P113" i="55"/>
  <c r="O113" i="55"/>
  <c r="P135" i="55"/>
  <c r="O135" i="55"/>
  <c r="P133" i="55"/>
  <c r="O133" i="55"/>
  <c r="P45" i="55"/>
  <c r="O45" i="55"/>
  <c r="O132" i="55"/>
  <c r="P132" i="55"/>
  <c r="O118" i="55"/>
  <c r="P118" i="55"/>
  <c r="P22" i="55"/>
  <c r="O22" i="55"/>
  <c r="O65" i="55"/>
  <c r="P65" i="55"/>
  <c r="Q121" i="55" l="1"/>
  <c r="Q97" i="55"/>
  <c r="Q45" i="55"/>
  <c r="Q89" i="55"/>
  <c r="Q135" i="55"/>
  <c r="Q6" i="55"/>
  <c r="Q63" i="55"/>
  <c r="Q113" i="55"/>
  <c r="Q41" i="55"/>
  <c r="Q73" i="55"/>
  <c r="Q133" i="55"/>
  <c r="Q21" i="55"/>
  <c r="Q57" i="55"/>
  <c r="Q22" i="55"/>
  <c r="Q137" i="55"/>
  <c r="Q49" i="55"/>
  <c r="Q153" i="55"/>
  <c r="Q152" i="55"/>
  <c r="Q88" i="55"/>
  <c r="Q150" i="55"/>
  <c r="Q105" i="55"/>
  <c r="Q93" i="55"/>
  <c r="Q82" i="55"/>
  <c r="Q65" i="55"/>
  <c r="Q103" i="55"/>
  <c r="Q58" i="55"/>
  <c r="Q131" i="55"/>
  <c r="Q101" i="55"/>
  <c r="Q155" i="55"/>
  <c r="Q118" i="55"/>
  <c r="Q71" i="55"/>
  <c r="Q143" i="55"/>
  <c r="Q132" i="55"/>
  <c r="Q119" i="55"/>
  <c r="Q90" i="55"/>
  <c r="Q95" i="55"/>
  <c r="Q84" i="55"/>
  <c r="Q116" i="55"/>
  <c r="Q47" i="55"/>
  <c r="D13" i="53" l="1"/>
  <c r="D12" i="53"/>
  <c r="D11" i="53"/>
  <c r="H22" i="46"/>
  <c r="G22" i="46"/>
  <c r="H14" i="46"/>
  <c r="G14" i="46"/>
  <c r="H13" i="46"/>
  <c r="G13" i="46"/>
  <c r="H11" i="46"/>
  <c r="G11" i="46"/>
  <c r="E22" i="46"/>
  <c r="E13" i="46"/>
  <c r="E14" i="46"/>
  <c r="E11" i="46"/>
  <c r="D22" i="46"/>
  <c r="D14" i="46"/>
  <c r="D13" i="46"/>
  <c r="D11" i="46"/>
  <c r="J11" i="45"/>
  <c r="J10" i="45"/>
  <c r="J9" i="45"/>
  <c r="J8" i="45"/>
  <c r="E23" i="45"/>
  <c r="E22" i="45"/>
  <c r="E19" i="45"/>
  <c r="E17" i="45"/>
  <c r="E16" i="45"/>
  <c r="E12" i="45"/>
  <c r="E11" i="45"/>
  <c r="D12" i="44"/>
  <c r="G15" i="43"/>
  <c r="G10" i="43" s="1"/>
  <c r="G46" i="43" s="1"/>
  <c r="H15" i="43"/>
  <c r="H10" i="43" s="1"/>
  <c r="H46" i="43" s="1"/>
  <c r="J15" i="43"/>
  <c r="J10" i="43" s="1"/>
  <c r="K15" i="43"/>
  <c r="K10" i="43" s="1"/>
  <c r="L15" i="43"/>
  <c r="L10" i="43" s="1"/>
  <c r="M15" i="43"/>
  <c r="M10" i="43" s="1"/>
  <c r="O15" i="43"/>
  <c r="O10" i="43" s="1"/>
  <c r="P15" i="43"/>
  <c r="P10" i="43" s="1"/>
  <c r="F15" i="43"/>
  <c r="F10" i="43" s="1"/>
  <c r="F46" i="43" s="1"/>
  <c r="J28" i="43"/>
  <c r="K28" i="43"/>
  <c r="L28" i="43"/>
  <c r="M28" i="43"/>
  <c r="O28" i="43"/>
  <c r="P28" i="43"/>
  <c r="H36" i="42"/>
  <c r="H35" i="42"/>
  <c r="H34" i="42"/>
  <c r="H33" i="42"/>
  <c r="H31" i="42"/>
  <c r="H30" i="42"/>
  <c r="H19" i="42"/>
  <c r="H18" i="42"/>
  <c r="H17" i="42"/>
  <c r="G13" i="37"/>
  <c r="G36" i="42"/>
  <c r="G35" i="42"/>
  <c r="G33" i="42"/>
  <c r="G31" i="42"/>
  <c r="G30" i="42"/>
  <c r="L10" i="41"/>
  <c r="K10" i="41"/>
  <c r="C13" i="53"/>
  <c r="Q11" i="21"/>
  <c r="E21" i="30" s="1"/>
  <c r="Q12" i="21"/>
  <c r="E25" i="30" s="1"/>
  <c r="Q13" i="21"/>
  <c r="Q15" i="21"/>
  <c r="Q16" i="21"/>
  <c r="Q18" i="21"/>
  <c r="Y143" i="19"/>
  <c r="Y142" i="19"/>
  <c r="AK165" i="19"/>
  <c r="AJ50" i="19"/>
  <c r="AJ53" i="19"/>
  <c r="AJ51" i="19"/>
  <c r="C16" i="44" s="1"/>
  <c r="AK169" i="19"/>
  <c r="AK168" i="19"/>
  <c r="AH168" i="19"/>
  <c r="AH169" i="19"/>
  <c r="AE169" i="19"/>
  <c r="S144" i="19"/>
  <c r="C11" i="21" s="1"/>
  <c r="W117" i="19"/>
  <c r="Q144" i="19" s="1"/>
  <c r="AE168" i="19"/>
  <c r="AE160" i="19"/>
  <c r="AJ52" i="19"/>
  <c r="AJ49" i="19"/>
  <c r="AJ48" i="19"/>
  <c r="AJ47" i="19"/>
  <c r="AG53" i="19"/>
  <c r="AG52" i="19"/>
  <c r="AG51" i="19"/>
  <c r="AG50" i="19"/>
  <c r="AG49" i="19"/>
  <c r="AG48" i="19"/>
  <c r="AG47" i="19"/>
  <c r="AD53" i="19"/>
  <c r="AD52" i="19"/>
  <c r="AD51" i="19"/>
  <c r="AD50" i="19"/>
  <c r="AD49" i="19"/>
  <c r="AD48" i="19"/>
  <c r="AD47" i="19"/>
  <c r="AA53" i="19"/>
  <c r="E21" i="12" s="1"/>
  <c r="AA52" i="19"/>
  <c r="AA51" i="19"/>
  <c r="E18" i="12" s="1"/>
  <c r="AA50" i="19"/>
  <c r="E15" i="12" s="1"/>
  <c r="AA49" i="19"/>
  <c r="AA48" i="19"/>
  <c r="AA47" i="19"/>
  <c r="X53" i="19"/>
  <c r="X52" i="19"/>
  <c r="X51" i="19"/>
  <c r="X50" i="19"/>
  <c r="X49" i="19"/>
  <c r="X48" i="19"/>
  <c r="X47" i="19"/>
  <c r="U53" i="19"/>
  <c r="U52" i="19"/>
  <c r="U51" i="19"/>
  <c r="U50" i="19"/>
  <c r="U49" i="19"/>
  <c r="U48" i="19"/>
  <c r="U47" i="19"/>
  <c r="R53" i="19"/>
  <c r="R52" i="19"/>
  <c r="R51" i="19"/>
  <c r="R50" i="19"/>
  <c r="R49" i="19"/>
  <c r="R48" i="19"/>
  <c r="R47" i="19"/>
  <c r="O53" i="19"/>
  <c r="O52" i="19"/>
  <c r="O51" i="19"/>
  <c r="O50" i="19"/>
  <c r="O49" i="19"/>
  <c r="O48" i="19"/>
  <c r="O47" i="19"/>
  <c r="L53" i="19"/>
  <c r="L52" i="19"/>
  <c r="L51" i="19"/>
  <c r="L50" i="19"/>
  <c r="L49" i="19"/>
  <c r="L48" i="19"/>
  <c r="L47" i="19"/>
  <c r="I53" i="19"/>
  <c r="I52" i="19"/>
  <c r="I51" i="19"/>
  <c r="I50" i="19"/>
  <c r="I49" i="19"/>
  <c r="I48" i="19"/>
  <c r="I47" i="19"/>
  <c r="F48" i="19"/>
  <c r="F49" i="19"/>
  <c r="F50" i="19"/>
  <c r="F51" i="19"/>
  <c r="F52" i="19"/>
  <c r="F53" i="19"/>
  <c r="F47" i="19"/>
  <c r="G165" i="19"/>
  <c r="G15" i="2"/>
  <c r="G16" i="38"/>
  <c r="H16" i="38" s="1"/>
  <c r="I16" i="38"/>
  <c r="J16" i="38"/>
  <c r="K16" i="38"/>
  <c r="L16" i="38"/>
  <c r="M16" i="38"/>
  <c r="N16" i="38"/>
  <c r="G17" i="38"/>
  <c r="H17" i="38" s="1"/>
  <c r="I17" i="38"/>
  <c r="J17" i="38"/>
  <c r="K17" i="38"/>
  <c r="L17" i="38"/>
  <c r="M17" i="38"/>
  <c r="N17" i="38"/>
  <c r="G18" i="38"/>
  <c r="H18" i="38" s="1"/>
  <c r="I18" i="38"/>
  <c r="J18" i="38"/>
  <c r="K18" i="38"/>
  <c r="L18" i="38"/>
  <c r="M18" i="38"/>
  <c r="N18" i="38"/>
  <c r="G19" i="38"/>
  <c r="H19" i="38" s="1"/>
  <c r="I19" i="38"/>
  <c r="J19" i="38"/>
  <c r="K19" i="38"/>
  <c r="L19" i="38"/>
  <c r="M19" i="38"/>
  <c r="N19" i="38"/>
  <c r="G20" i="38"/>
  <c r="H20" i="38" s="1"/>
  <c r="I20" i="38"/>
  <c r="J20" i="38"/>
  <c r="K20" i="38"/>
  <c r="L20" i="38"/>
  <c r="M20" i="38"/>
  <c r="N20" i="38"/>
  <c r="G21" i="38"/>
  <c r="H21" i="38"/>
  <c r="I21" i="38"/>
  <c r="J21" i="38"/>
  <c r="K21" i="38"/>
  <c r="L21" i="38"/>
  <c r="M21" i="38"/>
  <c r="N21" i="38"/>
  <c r="G22" i="38"/>
  <c r="H22" i="38" s="1"/>
  <c r="I22" i="38"/>
  <c r="J22" i="38"/>
  <c r="K22" i="38"/>
  <c r="L22" i="38"/>
  <c r="M22" i="38"/>
  <c r="N22" i="38"/>
  <c r="G23" i="38"/>
  <c r="H23" i="38" s="1"/>
  <c r="I23" i="38"/>
  <c r="J23" i="38"/>
  <c r="K23" i="38"/>
  <c r="L23" i="38"/>
  <c r="M23" i="38"/>
  <c r="N23" i="38"/>
  <c r="G24" i="38"/>
  <c r="H24" i="38" s="1"/>
  <c r="I24" i="38"/>
  <c r="J24" i="38"/>
  <c r="K24" i="38"/>
  <c r="L24" i="38"/>
  <c r="M24" i="38"/>
  <c r="N24" i="38"/>
  <c r="G25" i="38"/>
  <c r="H25" i="38" s="1"/>
  <c r="I25" i="38"/>
  <c r="J25" i="38"/>
  <c r="K25" i="38"/>
  <c r="L25" i="38"/>
  <c r="M25" i="38"/>
  <c r="N25" i="38"/>
  <c r="G26" i="38"/>
  <c r="H26" i="38" s="1"/>
  <c r="I26" i="38"/>
  <c r="J26" i="38"/>
  <c r="K26" i="38"/>
  <c r="L26" i="38"/>
  <c r="M26" i="38"/>
  <c r="N26" i="38"/>
  <c r="G27" i="38"/>
  <c r="H27" i="38" s="1"/>
  <c r="I27" i="38"/>
  <c r="J27" i="38"/>
  <c r="K27" i="38"/>
  <c r="L27" i="38"/>
  <c r="M27" i="38"/>
  <c r="N27" i="38"/>
  <c r="G28" i="38"/>
  <c r="H28" i="38" s="1"/>
  <c r="I28" i="38"/>
  <c r="J28" i="38"/>
  <c r="K28" i="38"/>
  <c r="L28" i="38"/>
  <c r="M28" i="38"/>
  <c r="N28" i="38"/>
  <c r="G29" i="38"/>
  <c r="H29" i="38" s="1"/>
  <c r="I29" i="38"/>
  <c r="J29" i="38"/>
  <c r="K29" i="38"/>
  <c r="L29" i="38"/>
  <c r="M29" i="38"/>
  <c r="N29" i="38"/>
  <c r="G30" i="38"/>
  <c r="H30" i="38" s="1"/>
  <c r="I30" i="38"/>
  <c r="J30" i="38"/>
  <c r="K30" i="38"/>
  <c r="L30" i="38"/>
  <c r="M30" i="38"/>
  <c r="N30" i="38"/>
  <c r="G31" i="38"/>
  <c r="H31" i="38" s="1"/>
  <c r="I31" i="38"/>
  <c r="J31" i="38"/>
  <c r="K31" i="38"/>
  <c r="L31" i="38"/>
  <c r="M31" i="38"/>
  <c r="N31" i="38"/>
  <c r="G32" i="38"/>
  <c r="H32" i="38" s="1"/>
  <c r="I32" i="38"/>
  <c r="J32" i="38"/>
  <c r="K32" i="38"/>
  <c r="L32" i="38"/>
  <c r="M32" i="38"/>
  <c r="N32" i="38"/>
  <c r="G33" i="38"/>
  <c r="H33" i="38" s="1"/>
  <c r="I33" i="38"/>
  <c r="J33" i="38"/>
  <c r="K33" i="38"/>
  <c r="L33" i="38"/>
  <c r="M33" i="38"/>
  <c r="N33" i="38"/>
  <c r="G34" i="38"/>
  <c r="H34" i="38" s="1"/>
  <c r="I34" i="38"/>
  <c r="J34" i="38"/>
  <c r="K34" i="38"/>
  <c r="L34" i="38"/>
  <c r="M34" i="38"/>
  <c r="N34" i="38"/>
  <c r="G35" i="38"/>
  <c r="H35" i="38" s="1"/>
  <c r="I35" i="38"/>
  <c r="J35" i="38"/>
  <c r="K35" i="38"/>
  <c r="L35" i="38"/>
  <c r="M35" i="38"/>
  <c r="N35" i="38"/>
  <c r="G36" i="38"/>
  <c r="H36" i="38" s="1"/>
  <c r="I36" i="38"/>
  <c r="J36" i="38"/>
  <c r="K36" i="38"/>
  <c r="L36" i="38"/>
  <c r="M36" i="38"/>
  <c r="N36" i="38"/>
  <c r="G37" i="38"/>
  <c r="H37" i="38" s="1"/>
  <c r="I37" i="38"/>
  <c r="J37" i="38"/>
  <c r="K37" i="38"/>
  <c r="L37" i="38"/>
  <c r="M37" i="38"/>
  <c r="N37" i="38"/>
  <c r="G15" i="38"/>
  <c r="H15" i="38" s="1"/>
  <c r="I15" i="38"/>
  <c r="J15" i="38"/>
  <c r="K15" i="38"/>
  <c r="L15" i="38"/>
  <c r="M15" i="38"/>
  <c r="N15" i="38"/>
  <c r="N11" i="38"/>
  <c r="M11" i="38"/>
  <c r="L11" i="38"/>
  <c r="K11" i="38"/>
  <c r="J11" i="38"/>
  <c r="I11" i="38"/>
  <c r="G16" i="2"/>
  <c r="H16" i="2" s="1"/>
  <c r="J16" i="2"/>
  <c r="I16" i="2"/>
  <c r="K16" i="2"/>
  <c r="L16" i="2"/>
  <c r="M16" i="2"/>
  <c r="N16" i="2"/>
  <c r="G17" i="2"/>
  <c r="H17" i="2" s="1"/>
  <c r="J17" i="2"/>
  <c r="I17" i="2"/>
  <c r="K17" i="2"/>
  <c r="L17" i="2"/>
  <c r="M17" i="2"/>
  <c r="N17" i="2"/>
  <c r="G18" i="2"/>
  <c r="J18" i="2"/>
  <c r="I18" i="2"/>
  <c r="K18" i="2"/>
  <c r="L18" i="2"/>
  <c r="M18" i="2"/>
  <c r="N18" i="2"/>
  <c r="G19" i="2"/>
  <c r="H19" i="2" s="1"/>
  <c r="J19" i="2"/>
  <c r="I19" i="2"/>
  <c r="K19" i="2"/>
  <c r="L19" i="2"/>
  <c r="M19" i="2"/>
  <c r="N19" i="2"/>
  <c r="G20" i="2"/>
  <c r="H20" i="2" s="1"/>
  <c r="J20" i="2"/>
  <c r="I20" i="2"/>
  <c r="K20" i="2"/>
  <c r="L20" i="2"/>
  <c r="M20" i="2"/>
  <c r="N20" i="2"/>
  <c r="G21" i="2"/>
  <c r="H21" i="2" s="1"/>
  <c r="J21" i="2"/>
  <c r="I21" i="2"/>
  <c r="K21" i="2"/>
  <c r="L21" i="2"/>
  <c r="M21" i="2"/>
  <c r="N21" i="2"/>
  <c r="G22" i="2"/>
  <c r="H22" i="2" s="1"/>
  <c r="J22" i="2"/>
  <c r="I22" i="2"/>
  <c r="K22" i="2"/>
  <c r="L22" i="2"/>
  <c r="M22" i="2"/>
  <c r="N22" i="2"/>
  <c r="G23" i="2"/>
  <c r="H23" i="2" s="1"/>
  <c r="J23" i="2"/>
  <c r="I23" i="2"/>
  <c r="K23" i="2"/>
  <c r="L23" i="2"/>
  <c r="M23" i="2"/>
  <c r="N23" i="2"/>
  <c r="G24" i="2"/>
  <c r="J24" i="2"/>
  <c r="I24" i="2"/>
  <c r="K24" i="2"/>
  <c r="L24" i="2"/>
  <c r="M24" i="2"/>
  <c r="N24" i="2"/>
  <c r="G25" i="2"/>
  <c r="H25" i="2" s="1"/>
  <c r="J25" i="2"/>
  <c r="I25" i="2"/>
  <c r="K25" i="2"/>
  <c r="L25" i="2"/>
  <c r="M25" i="2"/>
  <c r="N25" i="2"/>
  <c r="G26" i="2"/>
  <c r="H26" i="2" s="1"/>
  <c r="J26" i="2"/>
  <c r="I26" i="2"/>
  <c r="K26" i="2"/>
  <c r="L26" i="2"/>
  <c r="M26" i="2"/>
  <c r="N26" i="2"/>
  <c r="G27" i="2"/>
  <c r="J27" i="2"/>
  <c r="I27" i="2"/>
  <c r="K27" i="2"/>
  <c r="L27" i="2"/>
  <c r="M27" i="2"/>
  <c r="N27" i="2"/>
  <c r="G28" i="2"/>
  <c r="H28" i="2" s="1"/>
  <c r="J28" i="2"/>
  <c r="I28" i="2"/>
  <c r="K28" i="2"/>
  <c r="L28" i="2"/>
  <c r="M28" i="2"/>
  <c r="N28" i="2"/>
  <c r="G29" i="2"/>
  <c r="J29" i="2"/>
  <c r="I29" i="2"/>
  <c r="K29" i="2"/>
  <c r="L29" i="2"/>
  <c r="M29" i="2"/>
  <c r="N29" i="2"/>
  <c r="G30" i="2"/>
  <c r="E31" i="43" s="1"/>
  <c r="J30" i="2"/>
  <c r="I30" i="2"/>
  <c r="K30" i="2"/>
  <c r="L30" i="2"/>
  <c r="M30" i="2"/>
  <c r="N30" i="2"/>
  <c r="G31" i="2"/>
  <c r="J31" i="2"/>
  <c r="I31" i="2"/>
  <c r="K31" i="2"/>
  <c r="L31" i="2"/>
  <c r="M31" i="2"/>
  <c r="N31" i="2"/>
  <c r="G32" i="2"/>
  <c r="J32" i="2"/>
  <c r="I32" i="2"/>
  <c r="K32" i="2"/>
  <c r="L32" i="2"/>
  <c r="M32" i="2"/>
  <c r="N32" i="2"/>
  <c r="G33" i="2"/>
  <c r="H33" i="2" s="1"/>
  <c r="J33" i="2"/>
  <c r="I33" i="2"/>
  <c r="K33" i="2"/>
  <c r="L33" i="2"/>
  <c r="M33" i="2"/>
  <c r="N33" i="2"/>
  <c r="G34" i="2"/>
  <c r="J34" i="2"/>
  <c r="I34" i="2"/>
  <c r="K34" i="2"/>
  <c r="L34" i="2"/>
  <c r="M34" i="2"/>
  <c r="N34" i="2"/>
  <c r="G35" i="2"/>
  <c r="H35" i="2" s="1"/>
  <c r="J35" i="2"/>
  <c r="I35" i="2"/>
  <c r="K35" i="2"/>
  <c r="L35" i="2"/>
  <c r="M35" i="2"/>
  <c r="N35" i="2"/>
  <c r="G36" i="2"/>
  <c r="H36" i="2" s="1"/>
  <c r="J36" i="2"/>
  <c r="I36" i="2"/>
  <c r="K36" i="2"/>
  <c r="L36" i="2"/>
  <c r="M36" i="2"/>
  <c r="N36" i="2"/>
  <c r="G37" i="2"/>
  <c r="H37" i="2" s="1"/>
  <c r="J37" i="2"/>
  <c r="I37" i="2"/>
  <c r="K37" i="2"/>
  <c r="L37" i="2"/>
  <c r="M37" i="2"/>
  <c r="N37" i="2"/>
  <c r="J15" i="2"/>
  <c r="I15" i="2"/>
  <c r="K15" i="2"/>
  <c r="L15" i="2"/>
  <c r="M15" i="2"/>
  <c r="N15" i="2"/>
  <c r="J11" i="2"/>
  <c r="P11" i="2" s="1"/>
  <c r="K11" i="2"/>
  <c r="Q11" i="2" s="1"/>
  <c r="L11" i="2"/>
  <c r="R11" i="2" s="1"/>
  <c r="M11" i="2"/>
  <c r="S11" i="2" s="1"/>
  <c r="N11" i="2"/>
  <c r="T11" i="2" s="1"/>
  <c r="I11" i="2"/>
  <c r="O11" i="2" s="1"/>
  <c r="G14" i="37"/>
  <c r="G15" i="37"/>
  <c r="G16" i="37"/>
  <c r="G17" i="37"/>
  <c r="G18" i="37"/>
  <c r="G19" i="37"/>
  <c r="G20" i="37"/>
  <c r="G21" i="37"/>
  <c r="G22" i="37"/>
  <c r="G23" i="37"/>
  <c r="G24" i="37"/>
  <c r="G25" i="37"/>
  <c r="G26" i="37"/>
  <c r="G27" i="37"/>
  <c r="G28" i="37"/>
  <c r="G29" i="37"/>
  <c r="G30" i="37"/>
  <c r="G31" i="37"/>
  <c r="G32" i="37"/>
  <c r="G33" i="37"/>
  <c r="G34" i="37"/>
  <c r="G35" i="37"/>
  <c r="D14" i="37"/>
  <c r="E17" i="38"/>
  <c r="D16" i="37"/>
  <c r="E19" i="38"/>
  <c r="D19" i="37"/>
  <c r="F20" i="7"/>
  <c r="F21" i="7"/>
  <c r="E24" i="2"/>
  <c r="E25" i="38"/>
  <c r="F24" i="7"/>
  <c r="E27" i="38"/>
  <c r="F27" i="7"/>
  <c r="C16" i="22" s="1"/>
  <c r="E31" i="38"/>
  <c r="D31" i="37"/>
  <c r="D33" i="37"/>
  <c r="E36" i="2"/>
  <c r="E37" i="2"/>
  <c r="Y151" i="19"/>
  <c r="Y150" i="19"/>
  <c r="Y149" i="19"/>
  <c r="Y148" i="19"/>
  <c r="Y147" i="19"/>
  <c r="Y146" i="19"/>
  <c r="Y145" i="19"/>
  <c r="Y144" i="19"/>
  <c r="W151" i="19"/>
  <c r="W150" i="19"/>
  <c r="W149" i="19"/>
  <c r="W148" i="19"/>
  <c r="W147" i="19"/>
  <c r="W146" i="19"/>
  <c r="W145" i="19"/>
  <c r="W144" i="19"/>
  <c r="W143" i="19"/>
  <c r="W142" i="19"/>
  <c r="U151" i="19"/>
  <c r="U150" i="19"/>
  <c r="U149" i="19"/>
  <c r="U148" i="19"/>
  <c r="S148" i="19"/>
  <c r="C15" i="21" s="1"/>
  <c r="U147" i="19"/>
  <c r="U146" i="19"/>
  <c r="U145" i="19"/>
  <c r="U144" i="19"/>
  <c r="U143" i="19"/>
  <c r="U142" i="19"/>
  <c r="S151" i="19"/>
  <c r="C18" i="21" s="1"/>
  <c r="S150" i="19"/>
  <c r="C17" i="21" s="1"/>
  <c r="S149" i="19"/>
  <c r="C16" i="21" s="1"/>
  <c r="S147" i="19"/>
  <c r="C14" i="21" s="1"/>
  <c r="S146" i="19"/>
  <c r="C13" i="21" s="1"/>
  <c r="S145" i="19"/>
  <c r="C12" i="21" s="1"/>
  <c r="S143" i="19"/>
  <c r="C10" i="21" s="1"/>
  <c r="S142" i="19"/>
  <c r="C9" i="21" s="1"/>
  <c r="L164" i="19"/>
  <c r="AK157" i="19"/>
  <c r="AK158" i="19"/>
  <c r="AK159" i="19"/>
  <c r="AK160" i="19"/>
  <c r="AK161" i="19"/>
  <c r="AK162" i="19"/>
  <c r="AK163" i="19"/>
  <c r="AK156" i="19"/>
  <c r="AH157" i="19"/>
  <c r="AH158" i="19"/>
  <c r="AH159" i="19"/>
  <c r="AH160" i="19"/>
  <c r="AH161" i="19"/>
  <c r="AH162" i="19"/>
  <c r="AH163" i="19"/>
  <c r="AH156" i="19"/>
  <c r="AE157" i="19"/>
  <c r="AE158" i="19"/>
  <c r="AE159" i="19"/>
  <c r="AE161" i="19"/>
  <c r="AE162" i="19"/>
  <c r="AE163" i="19"/>
  <c r="AE156" i="19"/>
  <c r="J156" i="19"/>
  <c r="M156" i="19"/>
  <c r="J157" i="19"/>
  <c r="M157" i="19"/>
  <c r="J158" i="19"/>
  <c r="M158" i="19"/>
  <c r="J159" i="19"/>
  <c r="M159" i="19"/>
  <c r="J160" i="19"/>
  <c r="M160" i="19"/>
  <c r="J161" i="19"/>
  <c r="M161" i="19"/>
  <c r="J162" i="19"/>
  <c r="M162" i="19"/>
  <c r="J163" i="19"/>
  <c r="M163" i="19"/>
  <c r="AG164" i="19"/>
  <c r="AJ164" i="19"/>
  <c r="AH165" i="19"/>
  <c r="Z117" i="19"/>
  <c r="AA117" i="19" s="1"/>
  <c r="J168" i="19"/>
  <c r="M168" i="19"/>
  <c r="J165" i="19"/>
  <c r="M165" i="19"/>
  <c r="AD164" i="19"/>
  <c r="AE165" i="19"/>
  <c r="G168" i="19"/>
  <c r="F38" i="19"/>
  <c r="H38" i="19"/>
  <c r="J38" i="19"/>
  <c r="L38" i="19"/>
  <c r="N38" i="19"/>
  <c r="P38" i="19"/>
  <c r="R38" i="19"/>
  <c r="T38" i="19"/>
  <c r="V38" i="19"/>
  <c r="X38" i="19"/>
  <c r="Z38" i="19"/>
  <c r="G64" i="19"/>
  <c r="J64" i="19"/>
  <c r="M64" i="19"/>
  <c r="P64" i="19"/>
  <c r="S64" i="19"/>
  <c r="V64" i="19"/>
  <c r="Y64" i="19"/>
  <c r="AB64" i="19"/>
  <c r="AE64" i="19"/>
  <c r="AH64" i="19"/>
  <c r="AK64" i="19"/>
  <c r="G65" i="19"/>
  <c r="J65" i="19"/>
  <c r="M65" i="19"/>
  <c r="P65" i="19"/>
  <c r="S65" i="19"/>
  <c r="V65" i="19"/>
  <c r="Y65" i="19"/>
  <c r="AB65" i="19"/>
  <c r="AE65" i="19"/>
  <c r="AH65" i="19"/>
  <c r="AK65" i="19"/>
  <c r="G66" i="19"/>
  <c r="J66" i="19"/>
  <c r="M66" i="19"/>
  <c r="P66" i="19"/>
  <c r="S66" i="19"/>
  <c r="V66" i="19"/>
  <c r="Y66" i="19"/>
  <c r="AB66" i="19"/>
  <c r="AE66" i="19"/>
  <c r="AH66" i="19"/>
  <c r="AK66" i="19"/>
  <c r="G67" i="19"/>
  <c r="J67" i="19"/>
  <c r="M67" i="19"/>
  <c r="P67" i="19"/>
  <c r="S67" i="19"/>
  <c r="V67" i="19"/>
  <c r="Y67" i="19"/>
  <c r="AB67" i="19"/>
  <c r="AE67" i="19"/>
  <c r="AH67" i="19"/>
  <c r="AK67" i="19"/>
  <c r="G68" i="19"/>
  <c r="J68" i="19"/>
  <c r="M68" i="19"/>
  <c r="P68" i="19"/>
  <c r="S68" i="19"/>
  <c r="V68" i="19"/>
  <c r="Y68" i="19"/>
  <c r="AB68" i="19"/>
  <c r="AE68" i="19"/>
  <c r="AH68" i="19"/>
  <c r="AK68" i="19"/>
  <c r="G69" i="19"/>
  <c r="J69" i="19"/>
  <c r="M69" i="19"/>
  <c r="P69" i="19"/>
  <c r="S69" i="19"/>
  <c r="V69" i="19"/>
  <c r="Y69" i="19"/>
  <c r="AB69" i="19"/>
  <c r="AE69" i="19"/>
  <c r="AH69" i="19"/>
  <c r="AK69" i="19"/>
  <c r="G70" i="19"/>
  <c r="J70" i="19"/>
  <c r="M70" i="19"/>
  <c r="P70" i="19"/>
  <c r="S70" i="19"/>
  <c r="V70" i="19"/>
  <c r="Y70" i="19"/>
  <c r="AB70" i="19"/>
  <c r="AE70" i="19"/>
  <c r="AH70" i="19"/>
  <c r="AK70" i="19"/>
  <c r="G71" i="19"/>
  <c r="J71" i="19"/>
  <c r="M71" i="19"/>
  <c r="P71" i="19"/>
  <c r="S71" i="19"/>
  <c r="V71" i="19"/>
  <c r="Y71" i="19"/>
  <c r="AB71" i="19"/>
  <c r="AE71" i="19"/>
  <c r="AH71" i="19"/>
  <c r="AK71" i="19"/>
  <c r="G72" i="19"/>
  <c r="J72" i="19"/>
  <c r="M72" i="19"/>
  <c r="P72" i="19"/>
  <c r="S72" i="19"/>
  <c r="V72" i="19"/>
  <c r="Y72" i="19"/>
  <c r="AB72" i="19"/>
  <c r="AE72" i="19"/>
  <c r="AH72" i="19"/>
  <c r="AK72" i="19"/>
  <c r="G73" i="19"/>
  <c r="J73" i="19"/>
  <c r="M73" i="19"/>
  <c r="P73" i="19"/>
  <c r="S73" i="19"/>
  <c r="V73" i="19"/>
  <c r="Y73" i="19"/>
  <c r="AB73" i="19"/>
  <c r="AE73" i="19"/>
  <c r="AH73" i="19"/>
  <c r="AK73" i="19"/>
  <c r="G74" i="19"/>
  <c r="J74" i="19"/>
  <c r="M74" i="19"/>
  <c r="P74" i="19"/>
  <c r="S74" i="19"/>
  <c r="V74" i="19"/>
  <c r="Y74" i="19"/>
  <c r="AB74" i="19"/>
  <c r="AE74" i="19"/>
  <c r="AH74" i="19"/>
  <c r="AK74" i="19"/>
  <c r="G75" i="19"/>
  <c r="J75" i="19"/>
  <c r="M75" i="19"/>
  <c r="P75" i="19"/>
  <c r="S75" i="19"/>
  <c r="V75" i="19"/>
  <c r="Y75" i="19"/>
  <c r="AB75" i="19"/>
  <c r="AE75" i="19"/>
  <c r="AH75" i="19"/>
  <c r="AK75" i="19"/>
  <c r="G76" i="19"/>
  <c r="J76" i="19"/>
  <c r="M76" i="19"/>
  <c r="P76" i="19"/>
  <c r="S76" i="19"/>
  <c r="V76" i="19"/>
  <c r="Y76" i="19"/>
  <c r="AB76" i="19"/>
  <c r="AE76" i="19"/>
  <c r="AH76" i="19"/>
  <c r="AK76" i="19"/>
  <c r="G77" i="19"/>
  <c r="J77" i="19"/>
  <c r="M77" i="19"/>
  <c r="P77" i="19"/>
  <c r="S77" i="19"/>
  <c r="V77" i="19"/>
  <c r="Y77" i="19"/>
  <c r="AB77" i="19"/>
  <c r="AE77" i="19"/>
  <c r="AH77" i="19"/>
  <c r="AK77" i="19"/>
  <c r="G78" i="19"/>
  <c r="J78" i="19"/>
  <c r="M78" i="19"/>
  <c r="P78" i="19"/>
  <c r="S78" i="19"/>
  <c r="V78" i="19"/>
  <c r="Y78" i="19"/>
  <c r="AB78" i="19"/>
  <c r="AE78" i="19"/>
  <c r="AH78" i="19"/>
  <c r="AK78" i="19"/>
  <c r="G79" i="19"/>
  <c r="J79" i="19"/>
  <c r="M79" i="19"/>
  <c r="P79" i="19"/>
  <c r="S79" i="19"/>
  <c r="V79" i="19"/>
  <c r="Y79" i="19"/>
  <c r="AB79" i="19"/>
  <c r="AE79" i="19"/>
  <c r="AH79" i="19"/>
  <c r="AK79" i="19"/>
  <c r="G80" i="19"/>
  <c r="J80" i="19"/>
  <c r="M80" i="19"/>
  <c r="P80" i="19"/>
  <c r="S80" i="19"/>
  <c r="V80" i="19"/>
  <c r="Y80" i="19"/>
  <c r="AB80" i="19"/>
  <c r="AE80" i="19"/>
  <c r="AH80" i="19"/>
  <c r="AK80" i="19"/>
  <c r="G81" i="19"/>
  <c r="J81" i="19"/>
  <c r="M81" i="19"/>
  <c r="P81" i="19"/>
  <c r="AB81" i="19"/>
  <c r="AE81" i="19"/>
  <c r="AH81" i="19"/>
  <c r="AK81" i="19"/>
  <c r="G82" i="19"/>
  <c r="J82" i="19"/>
  <c r="M82" i="19"/>
  <c r="P82" i="19"/>
  <c r="S82" i="19"/>
  <c r="V82" i="19"/>
  <c r="Y82" i="19"/>
  <c r="AB82" i="19"/>
  <c r="AE82" i="19"/>
  <c r="AH82" i="19"/>
  <c r="AK82" i="19"/>
  <c r="G83" i="19"/>
  <c r="J83" i="19"/>
  <c r="M83" i="19"/>
  <c r="P83" i="19"/>
  <c r="S83" i="19"/>
  <c r="V83" i="19"/>
  <c r="Y83" i="19"/>
  <c r="AB83" i="19"/>
  <c r="AE83" i="19"/>
  <c r="AH83" i="19"/>
  <c r="AK83" i="19"/>
  <c r="F84" i="19"/>
  <c r="I84" i="19"/>
  <c r="L84" i="19"/>
  <c r="O84" i="19"/>
  <c r="R84" i="19"/>
  <c r="U84" i="19"/>
  <c r="X84" i="19"/>
  <c r="AA84" i="19"/>
  <c r="AD84" i="19"/>
  <c r="AG84" i="19"/>
  <c r="AJ84" i="19"/>
  <c r="G89" i="19"/>
  <c r="K89" i="19"/>
  <c r="O89" i="19"/>
  <c r="S89" i="19"/>
  <c r="W89" i="19"/>
  <c r="AA89" i="19"/>
  <c r="AD89" i="19"/>
  <c r="AG89" i="19"/>
  <c r="AJ89" i="19"/>
  <c r="AM89" i="19"/>
  <c r="AP89" i="19"/>
  <c r="G90" i="19"/>
  <c r="K90" i="19"/>
  <c r="O90" i="19"/>
  <c r="S90" i="19"/>
  <c r="W90" i="19"/>
  <c r="AA90" i="19"/>
  <c r="AD90" i="19"/>
  <c r="AG90" i="19"/>
  <c r="AJ90" i="19"/>
  <c r="AM90" i="19"/>
  <c r="AP90" i="19"/>
  <c r="G91" i="19"/>
  <c r="K91" i="19"/>
  <c r="O91" i="19"/>
  <c r="S91" i="19"/>
  <c r="W91" i="19"/>
  <c r="AA91" i="19"/>
  <c r="AD91" i="19"/>
  <c r="AG91" i="19"/>
  <c r="AJ91" i="19"/>
  <c r="AM91" i="19"/>
  <c r="AP91" i="19"/>
  <c r="G92" i="19"/>
  <c r="K92" i="19"/>
  <c r="O92" i="19"/>
  <c r="S92" i="19"/>
  <c r="W92" i="19"/>
  <c r="AA92" i="19"/>
  <c r="AD92" i="19"/>
  <c r="AG92" i="19"/>
  <c r="AJ92" i="19"/>
  <c r="AM92" i="19"/>
  <c r="AP92" i="19"/>
  <c r="G93" i="19"/>
  <c r="K93" i="19"/>
  <c r="O93" i="19"/>
  <c r="S93" i="19"/>
  <c r="W93" i="19"/>
  <c r="AA93" i="19"/>
  <c r="AD93" i="19"/>
  <c r="AG93" i="19"/>
  <c r="AJ93" i="19"/>
  <c r="AM93" i="19"/>
  <c r="AP93" i="19"/>
  <c r="G94" i="19"/>
  <c r="K94" i="19"/>
  <c r="O94" i="19"/>
  <c r="S94" i="19"/>
  <c r="W94" i="19"/>
  <c r="AA94" i="19"/>
  <c r="AD94" i="19"/>
  <c r="AG94" i="19"/>
  <c r="AJ94" i="19"/>
  <c r="AM94" i="19"/>
  <c r="AP94" i="19"/>
  <c r="G95" i="19"/>
  <c r="K95" i="19"/>
  <c r="O95" i="19"/>
  <c r="S95" i="19"/>
  <c r="W95" i="19"/>
  <c r="AA95" i="19"/>
  <c r="AD95" i="19"/>
  <c r="AG95" i="19"/>
  <c r="AJ95" i="19"/>
  <c r="AM95" i="19"/>
  <c r="AP95" i="19"/>
  <c r="G96" i="19"/>
  <c r="K96" i="19"/>
  <c r="O96" i="19"/>
  <c r="S96" i="19"/>
  <c r="W96" i="19"/>
  <c r="AA96" i="19"/>
  <c r="AD96" i="19"/>
  <c r="AG96" i="19"/>
  <c r="AJ96" i="19"/>
  <c r="AM96" i="19"/>
  <c r="AP96" i="19"/>
  <c r="G97" i="19"/>
  <c r="K97" i="19"/>
  <c r="O97" i="19"/>
  <c r="S97" i="19"/>
  <c r="W97" i="19"/>
  <c r="AA97" i="19"/>
  <c r="AD97" i="19"/>
  <c r="AG97" i="19"/>
  <c r="AJ97" i="19"/>
  <c r="AM97" i="19"/>
  <c r="AP97" i="19"/>
  <c r="G98" i="19"/>
  <c r="K98" i="19"/>
  <c r="O98" i="19"/>
  <c r="S98" i="19"/>
  <c r="W98" i="19"/>
  <c r="AA98" i="19"/>
  <c r="AD98" i="19"/>
  <c r="AG98" i="19"/>
  <c r="AJ98" i="19"/>
  <c r="AM98" i="19"/>
  <c r="AP98" i="19"/>
  <c r="G99" i="19"/>
  <c r="K99" i="19"/>
  <c r="O99" i="19"/>
  <c r="S99" i="19"/>
  <c r="W99" i="19"/>
  <c r="AA99" i="19"/>
  <c r="AD99" i="19"/>
  <c r="AG99" i="19"/>
  <c r="AJ99" i="19"/>
  <c r="AM99" i="19"/>
  <c r="AP99" i="19"/>
  <c r="G100" i="19"/>
  <c r="K100" i="19"/>
  <c r="O100" i="19"/>
  <c r="S100" i="19"/>
  <c r="W100" i="19"/>
  <c r="AA100" i="19"/>
  <c r="AD100" i="19"/>
  <c r="AG100" i="19"/>
  <c r="AJ100" i="19"/>
  <c r="AM100" i="19"/>
  <c r="AP100" i="19"/>
  <c r="F101" i="19"/>
  <c r="H101" i="19"/>
  <c r="J101" i="19"/>
  <c r="L101" i="19"/>
  <c r="N101" i="19"/>
  <c r="P101" i="19"/>
  <c r="R101" i="19"/>
  <c r="T101" i="19"/>
  <c r="V101" i="19"/>
  <c r="X101" i="19"/>
  <c r="Z101" i="19"/>
  <c r="AC101" i="19"/>
  <c r="AF101" i="19"/>
  <c r="AI101" i="19"/>
  <c r="AL101" i="19"/>
  <c r="AO101" i="19"/>
  <c r="E107" i="19"/>
  <c r="F107" i="19" s="1"/>
  <c r="H107" i="19"/>
  <c r="I107" i="19" s="1"/>
  <c r="K107" i="19"/>
  <c r="L107" i="19" s="1"/>
  <c r="N107" i="19"/>
  <c r="O107" i="19" s="1"/>
  <c r="Q107" i="19"/>
  <c r="R107" i="19" s="1"/>
  <c r="T107" i="19"/>
  <c r="U107" i="19" s="1"/>
  <c r="W107" i="19"/>
  <c r="X107" i="19" s="1"/>
  <c r="Z107" i="19"/>
  <c r="AA107" i="19" s="1"/>
  <c r="AC107" i="19"/>
  <c r="AD107" i="19" s="1"/>
  <c r="AF107" i="19"/>
  <c r="AG107" i="19" s="1"/>
  <c r="AI107" i="19"/>
  <c r="AJ107" i="19" s="1"/>
  <c r="E108" i="19" a="1"/>
  <c r="E113" i="19" s="1"/>
  <c r="H108" i="19" a="1"/>
  <c r="H108" i="19" s="1"/>
  <c r="I108" i="19" s="1"/>
  <c r="K108" i="19" a="1"/>
  <c r="K108" i="19" s="1"/>
  <c r="L108" i="19" s="1"/>
  <c r="N108" i="19" a="1"/>
  <c r="N108" i="19" s="1"/>
  <c r="O108" i="19" s="1"/>
  <c r="Q108" i="19" a="1"/>
  <c r="Q109" i="19" s="1"/>
  <c r="T108" i="19" a="1"/>
  <c r="T110" i="19" s="1"/>
  <c r="W108" i="19" a="1"/>
  <c r="W111" i="19" s="1"/>
  <c r="Z108" i="19" a="1"/>
  <c r="Z108" i="19" s="1"/>
  <c r="AA108" i="19" s="1"/>
  <c r="AC108" i="19" a="1"/>
  <c r="AC113" i="19" s="1"/>
  <c r="AF108" i="19" a="1"/>
  <c r="AI108" i="19" a="1"/>
  <c r="AI111" i="19" s="1"/>
  <c r="K110" i="19"/>
  <c r="E117" i="19"/>
  <c r="F117" i="19" s="1"/>
  <c r="H117" i="19"/>
  <c r="I117" i="19" s="1"/>
  <c r="K117" i="19"/>
  <c r="L117" i="19" s="1"/>
  <c r="N117" i="19"/>
  <c r="O117" i="19" s="1"/>
  <c r="Q117" i="19"/>
  <c r="R117" i="19" s="1"/>
  <c r="T117" i="19"/>
  <c r="U117" i="19" s="1"/>
  <c r="X117" i="19"/>
  <c r="AC117" i="19"/>
  <c r="AD117" i="19" s="1"/>
  <c r="AF117" i="19"/>
  <c r="AG117" i="19" s="1"/>
  <c r="AI117" i="19"/>
  <c r="AJ117" i="19" s="1"/>
  <c r="F120" i="19"/>
  <c r="I120" i="19"/>
  <c r="L120" i="19"/>
  <c r="O120" i="19"/>
  <c r="R120" i="19"/>
  <c r="U120" i="19"/>
  <c r="X120" i="19"/>
  <c r="AA120" i="19"/>
  <c r="AD120" i="19"/>
  <c r="AG120" i="19"/>
  <c r="AJ120" i="19"/>
  <c r="Q145" i="19"/>
  <c r="Q146" i="19"/>
  <c r="Q147" i="19"/>
  <c r="Q148" i="19"/>
  <c r="Q149" i="19"/>
  <c r="Q150" i="19"/>
  <c r="Q151" i="19"/>
  <c r="G156" i="19"/>
  <c r="P156" i="19"/>
  <c r="S156" i="19"/>
  <c r="V156" i="19"/>
  <c r="Y156" i="19"/>
  <c r="AB156" i="19"/>
  <c r="G157" i="19"/>
  <c r="P157" i="19"/>
  <c r="S157" i="19"/>
  <c r="V157" i="19"/>
  <c r="Y157" i="19"/>
  <c r="AB157" i="19"/>
  <c r="G158" i="19"/>
  <c r="P158" i="19"/>
  <c r="S158" i="19"/>
  <c r="V158" i="19"/>
  <c r="Y158" i="19"/>
  <c r="AB158" i="19"/>
  <c r="G159" i="19"/>
  <c r="P159" i="19"/>
  <c r="S159" i="19"/>
  <c r="V159" i="19"/>
  <c r="Y159" i="19"/>
  <c r="AB159" i="19"/>
  <c r="G160" i="19"/>
  <c r="P160" i="19"/>
  <c r="S160" i="19"/>
  <c r="V160" i="19"/>
  <c r="Y160" i="19"/>
  <c r="AB160" i="19"/>
  <c r="G161" i="19"/>
  <c r="P161" i="19"/>
  <c r="S161" i="19"/>
  <c r="V161" i="19"/>
  <c r="Y161" i="19"/>
  <c r="AB161" i="19"/>
  <c r="G162" i="19"/>
  <c r="P162" i="19"/>
  <c r="S162" i="19"/>
  <c r="V162" i="19"/>
  <c r="Y162" i="19"/>
  <c r="AB162" i="19"/>
  <c r="G163" i="19"/>
  <c r="P163" i="19"/>
  <c r="S163" i="19"/>
  <c r="V163" i="19"/>
  <c r="Y163" i="19"/>
  <c r="AB163" i="19"/>
  <c r="F164" i="19"/>
  <c r="I164" i="19"/>
  <c r="O164" i="19"/>
  <c r="R164" i="19"/>
  <c r="U164" i="19"/>
  <c r="X164" i="19"/>
  <c r="AA164" i="19"/>
  <c r="P165" i="19"/>
  <c r="S165" i="19"/>
  <c r="V165" i="19"/>
  <c r="Y165" i="19"/>
  <c r="AB165" i="19"/>
  <c r="V168" i="19"/>
  <c r="V167" i="19" s="1"/>
  <c r="P168" i="19"/>
  <c r="S168" i="19"/>
  <c r="Y168" i="19"/>
  <c r="Y169" i="19"/>
  <c r="T53" i="12"/>
  <c r="R54" i="12"/>
  <c r="P21" i="11"/>
  <c r="C13" i="15"/>
  <c r="C11" i="53" s="1"/>
  <c r="N17" i="15"/>
  <c r="E14" i="15" s="1"/>
  <c r="E14" i="14"/>
  <c r="E17" i="14" s="1"/>
  <c r="L7" i="17"/>
  <c r="M7" i="17"/>
  <c r="L8" i="17"/>
  <c r="M8" i="17"/>
  <c r="L9" i="17"/>
  <c r="M9" i="17"/>
  <c r="L10" i="17"/>
  <c r="M10" i="17"/>
  <c r="L11" i="17"/>
  <c r="M11" i="17"/>
  <c r="L12" i="17"/>
  <c r="M12" i="17"/>
  <c r="L13" i="17"/>
  <c r="M13" i="17"/>
  <c r="L14" i="17"/>
  <c r="M14" i="17"/>
  <c r="L15" i="17"/>
  <c r="M15" i="17"/>
  <c r="L16" i="17"/>
  <c r="M16" i="17"/>
  <c r="D6" i="13"/>
  <c r="F6" i="13" s="1"/>
  <c r="D7" i="13"/>
  <c r="F7" i="13" s="1"/>
  <c r="D8" i="13"/>
  <c r="F8" i="13" s="1"/>
  <c r="D9" i="13"/>
  <c r="K9" i="13" s="1"/>
  <c r="L9" i="13" s="1"/>
  <c r="D15" i="13"/>
  <c r="F15" i="13" s="1"/>
  <c r="D16" i="13"/>
  <c r="F16" i="13" s="1"/>
  <c r="D17" i="13"/>
  <c r="F17" i="13" s="1"/>
  <c r="I17" i="13" s="1"/>
  <c r="D18" i="13"/>
  <c r="F18" i="13" s="1"/>
  <c r="I18" i="13" s="1"/>
  <c r="U10" i="30"/>
  <c r="U11" i="30"/>
  <c r="U12" i="30"/>
  <c r="U13" i="30"/>
  <c r="E56" i="16"/>
  <c r="C17" i="16"/>
  <c r="V20" i="16"/>
  <c r="E59" i="16"/>
  <c r="E60" i="16"/>
  <c r="E61" i="16"/>
  <c r="E62" i="16"/>
  <c r="E63" i="16"/>
  <c r="E64" i="16"/>
  <c r="E65" i="16"/>
  <c r="E66" i="16"/>
  <c r="E67" i="16"/>
  <c r="E68" i="16"/>
  <c r="E69" i="16"/>
  <c r="E70" i="16"/>
  <c r="E71" i="16"/>
  <c r="D4" i="24"/>
  <c r="E4" i="24" s="1"/>
  <c r="I4" i="24"/>
  <c r="D5" i="24"/>
  <c r="E5" i="24" s="1"/>
  <c r="I5" i="24"/>
  <c r="D6" i="24"/>
  <c r="E6" i="24" s="1"/>
  <c r="I6" i="24"/>
  <c r="D7" i="24"/>
  <c r="E7" i="24" s="1"/>
  <c r="I7" i="24"/>
  <c r="C8" i="24"/>
  <c r="G8" i="24"/>
  <c r="H8" i="24"/>
  <c r="E11" i="24"/>
  <c r="E12" i="24"/>
  <c r="E13" i="24"/>
  <c r="E14" i="24"/>
  <c r="E15" i="24"/>
  <c r="E16" i="24"/>
  <c r="E17" i="24"/>
  <c r="E18" i="24"/>
  <c r="E19" i="24"/>
  <c r="E20" i="24"/>
  <c r="C21" i="24"/>
  <c r="D21" i="24"/>
  <c r="E25" i="24"/>
  <c r="E27" i="24"/>
  <c r="E29" i="24"/>
  <c r="E31" i="24"/>
  <c r="E33" i="24"/>
  <c r="E35" i="24"/>
  <c r="E37" i="24"/>
  <c r="E39" i="24"/>
  <c r="E41" i="24"/>
  <c r="E43" i="24"/>
  <c r="E46" i="24"/>
  <c r="E48" i="24"/>
  <c r="E50" i="24"/>
  <c r="E52" i="24"/>
  <c r="E54" i="24"/>
  <c r="E56" i="24"/>
  <c r="C59" i="24"/>
  <c r="D59" i="24"/>
  <c r="F9" i="22"/>
  <c r="F10" i="22"/>
  <c r="F12" i="22"/>
  <c r="F14" i="22"/>
  <c r="F16" i="22"/>
  <c r="F18" i="22"/>
  <c r="F20" i="22"/>
  <c r="F22" i="22"/>
  <c r="F24" i="22"/>
  <c r="C25" i="22"/>
  <c r="J25" i="22"/>
  <c r="F26" i="22"/>
  <c r="C27" i="22"/>
  <c r="J27" i="22"/>
  <c r="F28" i="22"/>
  <c r="F31" i="22"/>
  <c r="F32" i="22"/>
  <c r="F34" i="22"/>
  <c r="F36" i="22"/>
  <c r="F38" i="22"/>
  <c r="F40" i="22"/>
  <c r="F42" i="22"/>
  <c r="F44" i="22"/>
  <c r="F46" i="22"/>
  <c r="F48" i="22"/>
  <c r="F51" i="22"/>
  <c r="F53" i="22"/>
  <c r="J54" i="22"/>
  <c r="F55" i="22"/>
  <c r="F59" i="22"/>
  <c r="F60" i="22"/>
  <c r="F62" i="22"/>
  <c r="F66" i="22"/>
  <c r="F68" i="22"/>
  <c r="F70" i="22"/>
  <c r="F72" i="22"/>
  <c r="F74" i="22"/>
  <c r="F76" i="22"/>
  <c r="Y80" i="22"/>
  <c r="Z80" i="22" s="1"/>
  <c r="E79" i="22" s="1"/>
  <c r="F79" i="22" s="1"/>
  <c r="Y81" i="22"/>
  <c r="Z81" i="22" s="1"/>
  <c r="E80" i="22" s="1"/>
  <c r="F80" i="22" s="1"/>
  <c r="J83" i="22"/>
  <c r="Y83" i="22"/>
  <c r="Z83" i="22" s="1"/>
  <c r="E82" i="22" s="1"/>
  <c r="F82" i="22" s="1"/>
  <c r="Y85" i="22"/>
  <c r="Z85" i="22" s="1"/>
  <c r="E84" i="22" s="1"/>
  <c r="F84" i="22" s="1"/>
  <c r="Y87" i="22"/>
  <c r="Z87" i="22" s="1"/>
  <c r="E86" i="22" s="1"/>
  <c r="F86" i="22" s="1"/>
  <c r="Y89" i="22"/>
  <c r="Z89" i="22" s="1"/>
  <c r="E88" i="22" s="1"/>
  <c r="F88" i="22" s="1"/>
  <c r="Y91" i="22"/>
  <c r="Z91" i="22" s="1"/>
  <c r="E90" i="22" s="1"/>
  <c r="F90" i="22" s="1"/>
  <c r="Y93" i="22"/>
  <c r="Z93" i="22" s="1"/>
  <c r="E92" i="22" s="1"/>
  <c r="F92" i="22" s="1"/>
  <c r="Y95" i="22"/>
  <c r="Z95" i="22" s="1"/>
  <c r="E94" i="22" s="1"/>
  <c r="F94" i="22" s="1"/>
  <c r="Y98" i="22"/>
  <c r="Z98" i="22" s="1"/>
  <c r="E96" i="22" s="1"/>
  <c r="F96" i="22" s="1"/>
  <c r="F100" i="22"/>
  <c r="Y103" i="22"/>
  <c r="E103" i="22" s="1"/>
  <c r="F103" i="22" s="1"/>
  <c r="Y105" i="22"/>
  <c r="E105" i="22" s="1"/>
  <c r="F105" i="22" s="1"/>
  <c r="Y107" i="22"/>
  <c r="E107" i="22" s="1"/>
  <c r="F107" i="22" s="1"/>
  <c r="J108" i="22"/>
  <c r="C109" i="22"/>
  <c r="C108" i="22" s="1"/>
  <c r="F109" i="22"/>
  <c r="Y111" i="22"/>
  <c r="E111" i="22" s="1"/>
  <c r="F111" i="22" s="1"/>
  <c r="Y113" i="22"/>
  <c r="E113" i="22" s="1"/>
  <c r="F113" i="22" s="1"/>
  <c r="Y117" i="22"/>
  <c r="E116" i="22" s="1"/>
  <c r="F116" i="22" s="1"/>
  <c r="Y119" i="22"/>
  <c r="E118" i="22" s="1"/>
  <c r="F118" i="22" s="1"/>
  <c r="F121" i="22"/>
  <c r="F124" i="22"/>
  <c r="C125" i="22"/>
  <c r="F126" i="22"/>
  <c r="L126" i="22"/>
  <c r="H18" i="26"/>
  <c r="I18" i="26" s="1"/>
  <c r="H19" i="26"/>
  <c r="I19" i="26" s="1"/>
  <c r="H20" i="26"/>
  <c r="I20" i="26" s="1"/>
  <c r="H21" i="26"/>
  <c r="I21" i="26" s="1"/>
  <c r="H27" i="26"/>
  <c r="I27" i="26" s="1"/>
  <c r="H28" i="26"/>
  <c r="I28" i="26" s="1"/>
  <c r="H29" i="26"/>
  <c r="I29" i="26" s="1"/>
  <c r="H30" i="26"/>
  <c r="I30" i="26" s="1"/>
  <c r="H31" i="26"/>
  <c r="I31" i="26" s="1"/>
  <c r="D49" i="26"/>
  <c r="D50" i="26"/>
  <c r="D51" i="26"/>
  <c r="D52" i="26"/>
  <c r="D53" i="26"/>
  <c r="D54" i="26"/>
  <c r="D55" i="26"/>
  <c r="D56" i="26"/>
  <c r="F58" i="26"/>
  <c r="G58" i="26"/>
  <c r="S12" i="27"/>
  <c r="S13" i="27"/>
  <c r="S14" i="27"/>
  <c r="S15" i="27"/>
  <c r="S16" i="27"/>
  <c r="S17" i="27"/>
  <c r="S18" i="27"/>
  <c r="S19" i="27"/>
  <c r="S20" i="27"/>
  <c r="S21" i="27"/>
  <c r="S22" i="27"/>
  <c r="S23" i="27"/>
  <c r="S24" i="27"/>
  <c r="S25" i="27"/>
  <c r="S26" i="27"/>
  <c r="S27" i="27"/>
  <c r="S28" i="27"/>
  <c r="S29" i="27"/>
  <c r="S30" i="27"/>
  <c r="S31" i="27"/>
  <c r="S32" i="27"/>
  <c r="S33" i="27"/>
  <c r="S34" i="27"/>
  <c r="S35" i="27"/>
  <c r="S36" i="27"/>
  <c r="S37" i="27"/>
  <c r="S38" i="27"/>
  <c r="S39" i="27"/>
  <c r="F42" i="27"/>
  <c r="G42" i="27"/>
  <c r="H42" i="27"/>
  <c r="J12" i="27" s="1"/>
  <c r="I42" i="27"/>
  <c r="P42" i="27"/>
  <c r="R18" i="27" s="1"/>
  <c r="Q42" i="27"/>
  <c r="H17" i="26"/>
  <c r="I17" i="26" s="1"/>
  <c r="J22" i="27" l="1"/>
  <c r="J34" i="27"/>
  <c r="J31" i="27"/>
  <c r="K115" i="19"/>
  <c r="E24" i="12"/>
  <c r="C20" i="44"/>
  <c r="I18" i="11"/>
  <c r="N115" i="19"/>
  <c r="I8" i="24"/>
  <c r="K114" i="19"/>
  <c r="J25" i="27"/>
  <c r="K113" i="19"/>
  <c r="E33" i="30"/>
  <c r="M36" i="30"/>
  <c r="E9" i="21"/>
  <c r="G9" i="21" s="1"/>
  <c r="I9" i="21" s="1"/>
  <c r="J9" i="21" s="1"/>
  <c r="J40" i="27"/>
  <c r="E59" i="24"/>
  <c r="E17" i="21"/>
  <c r="G17" i="21" s="1"/>
  <c r="I17" i="21" s="1"/>
  <c r="J17" i="21" s="1"/>
  <c r="R19" i="27"/>
  <c r="R25" i="27"/>
  <c r="E21" i="24"/>
  <c r="Q10" i="21"/>
  <c r="E17" i="30" s="1"/>
  <c r="J17" i="30" s="1"/>
  <c r="I13" i="46" s="1"/>
  <c r="E16" i="21"/>
  <c r="G16" i="21" s="1"/>
  <c r="I16" i="13"/>
  <c r="J16" i="13"/>
  <c r="M16" i="13" s="1"/>
  <c r="F9" i="13"/>
  <c r="M9" i="13" s="1"/>
  <c r="N9" i="13" s="1"/>
  <c r="Q14" i="21"/>
  <c r="E29" i="30" s="1"/>
  <c r="M32" i="30" s="1"/>
  <c r="E18" i="21"/>
  <c r="G18" i="21" s="1"/>
  <c r="I18" i="21" s="1"/>
  <c r="M18" i="21" s="1"/>
  <c r="E13" i="21"/>
  <c r="G13" i="21" s="1"/>
  <c r="I13" i="21" s="1"/>
  <c r="J13" i="21" s="1"/>
  <c r="R16" i="27"/>
  <c r="H115" i="19"/>
  <c r="T114" i="19"/>
  <c r="H114" i="19"/>
  <c r="AD31" i="38"/>
  <c r="AF31" i="38" s="1"/>
  <c r="S42" i="27"/>
  <c r="T113" i="19"/>
  <c r="H110" i="19"/>
  <c r="K109" i="19"/>
  <c r="R31" i="27"/>
  <c r="K7" i="13"/>
  <c r="L7" i="13" s="1"/>
  <c r="R37" i="27"/>
  <c r="J16" i="27"/>
  <c r="H113" i="19"/>
  <c r="V164" i="19"/>
  <c r="J37" i="27"/>
  <c r="R22" i="27"/>
  <c r="U22" i="27" s="1"/>
  <c r="K112" i="19"/>
  <c r="C17" i="41"/>
  <c r="K111" i="19"/>
  <c r="T108" i="19"/>
  <c r="U108" i="19" s="1"/>
  <c r="AI115" i="19"/>
  <c r="H111" i="19"/>
  <c r="J28" i="27"/>
  <c r="R13" i="27"/>
  <c r="I126" i="22"/>
  <c r="J125" i="22" s="1"/>
  <c r="AI110" i="19"/>
  <c r="R28" i="27"/>
  <c r="R34" i="27"/>
  <c r="J13" i="27"/>
  <c r="J17" i="13"/>
  <c r="M17" i="13" s="1"/>
  <c r="G84" i="19"/>
  <c r="E11" i="21"/>
  <c r="G11" i="21" s="1"/>
  <c r="I11" i="21" s="1"/>
  <c r="R40" i="27"/>
  <c r="J19" i="27"/>
  <c r="V19" i="16"/>
  <c r="AI109" i="19"/>
  <c r="H7" i="13"/>
  <c r="H6" i="13"/>
  <c r="H10" i="13" s="1"/>
  <c r="F10" i="13"/>
  <c r="I15" i="13"/>
  <c r="J15" i="13"/>
  <c r="J19" i="13" s="1"/>
  <c r="K12" i="27"/>
  <c r="Y84" i="19"/>
  <c r="AE84" i="19"/>
  <c r="H8" i="13"/>
  <c r="W101" i="19"/>
  <c r="J164" i="19"/>
  <c r="AB84" i="19"/>
  <c r="T40" i="27"/>
  <c r="U40" i="27" s="1"/>
  <c r="T29" i="27"/>
  <c r="T13" i="27"/>
  <c r="T16" i="27"/>
  <c r="T19" i="27"/>
  <c r="U19" i="27" s="1"/>
  <c r="T22" i="27"/>
  <c r="T25" i="27"/>
  <c r="U25" i="27" s="1"/>
  <c r="T28" i="27"/>
  <c r="U28" i="27" s="1"/>
  <c r="T31" i="27"/>
  <c r="U31" i="27" s="1"/>
  <c r="T34" i="27"/>
  <c r="T37" i="27"/>
  <c r="T14" i="27"/>
  <c r="T20" i="27"/>
  <c r="T32" i="27"/>
  <c r="T38" i="27"/>
  <c r="T12" i="27"/>
  <c r="T15" i="27"/>
  <c r="T18" i="27"/>
  <c r="U18" i="27" s="1"/>
  <c r="T21" i="27"/>
  <c r="T24" i="27"/>
  <c r="T27" i="27"/>
  <c r="T30" i="27"/>
  <c r="T33" i="27"/>
  <c r="T36" i="27"/>
  <c r="T39" i="27"/>
  <c r="T17" i="27"/>
  <c r="T26" i="27"/>
  <c r="T35" i="27"/>
  <c r="T23" i="27"/>
  <c r="AF114" i="19"/>
  <c r="AF111" i="19"/>
  <c r="AF115" i="19"/>
  <c r="AI113" i="19"/>
  <c r="M164" i="19"/>
  <c r="H30" i="2"/>
  <c r="S84" i="19"/>
  <c r="P84" i="19"/>
  <c r="M84" i="19"/>
  <c r="R23" i="27"/>
  <c r="R14" i="27"/>
  <c r="U14" i="30"/>
  <c r="R29" i="27"/>
  <c r="J38" i="27"/>
  <c r="J35" i="27"/>
  <c r="J32" i="27"/>
  <c r="J29" i="27"/>
  <c r="J26" i="27"/>
  <c r="J23" i="27"/>
  <c r="J20" i="27"/>
  <c r="J17" i="27"/>
  <c r="J14" i="27"/>
  <c r="K8" i="13"/>
  <c r="L8" i="13" s="1"/>
  <c r="T109" i="19"/>
  <c r="T16" i="37"/>
  <c r="R38" i="27"/>
  <c r="R20" i="27"/>
  <c r="R17" i="27"/>
  <c r="J18" i="13"/>
  <c r="M18" i="13" s="1"/>
  <c r="T112" i="19"/>
  <c r="O101" i="19"/>
  <c r="R24" i="27"/>
  <c r="R12" i="27"/>
  <c r="K6" i="13"/>
  <c r="M6" i="13" s="1"/>
  <c r="T115" i="19"/>
  <c r="Q112" i="19"/>
  <c r="H109" i="19"/>
  <c r="AK84" i="19"/>
  <c r="R35" i="27"/>
  <c r="R26" i="27"/>
  <c r="R27" i="27"/>
  <c r="R21" i="27"/>
  <c r="R15" i="27"/>
  <c r="R32" i="27"/>
  <c r="R39" i="27"/>
  <c r="R36" i="27"/>
  <c r="R33" i="27"/>
  <c r="R30" i="27"/>
  <c r="J39" i="27"/>
  <c r="J36" i="27"/>
  <c r="J33" i="27"/>
  <c r="J30" i="27"/>
  <c r="J27" i="27"/>
  <c r="J24" i="27"/>
  <c r="J21" i="27"/>
  <c r="J18" i="27"/>
  <c r="J15" i="27"/>
  <c r="G13" i="15"/>
  <c r="E11" i="53" s="1"/>
  <c r="H112" i="19"/>
  <c r="AI108" i="19"/>
  <c r="AJ108" i="19" s="1"/>
  <c r="AE164" i="19"/>
  <c r="AF113" i="19"/>
  <c r="W112" i="19"/>
  <c r="Q111" i="19"/>
  <c r="N110" i="19"/>
  <c r="N109" i="19"/>
  <c r="Q142" i="19"/>
  <c r="W114" i="19"/>
  <c r="W113" i="19"/>
  <c r="N111" i="19"/>
  <c r="W108" i="19"/>
  <c r="E15" i="21"/>
  <c r="G15" i="21" s="1"/>
  <c r="I15" i="21" s="1"/>
  <c r="F31" i="7"/>
  <c r="C16" i="16" s="1"/>
  <c r="W115" i="19"/>
  <c r="Q114" i="19"/>
  <c r="Q113" i="19"/>
  <c r="N112" i="19"/>
  <c r="AH84" i="19"/>
  <c r="J84" i="19"/>
  <c r="G164" i="19"/>
  <c r="Y164" i="19"/>
  <c r="S164" i="19"/>
  <c r="N114" i="19"/>
  <c r="N113" i="19"/>
  <c r="Z109" i="19"/>
  <c r="V84" i="19"/>
  <c r="F29" i="7"/>
  <c r="C14" i="16" s="1"/>
  <c r="Q115" i="19"/>
  <c r="AF110" i="19"/>
  <c r="W109" i="19"/>
  <c r="Q108" i="19"/>
  <c r="R108" i="19" s="1"/>
  <c r="W110" i="19"/>
  <c r="K101" i="19"/>
  <c r="G101" i="19"/>
  <c r="AB164" i="19"/>
  <c r="F14" i="11" s="1"/>
  <c r="P164" i="19"/>
  <c r="AF112" i="19"/>
  <c r="Q110" i="19"/>
  <c r="S101" i="19"/>
  <c r="AH164" i="19"/>
  <c r="AK164" i="19"/>
  <c r="P9" i="46"/>
  <c r="E14" i="21"/>
  <c r="G14" i="21" s="1"/>
  <c r="C14" i="44"/>
  <c r="C12" i="44" s="1"/>
  <c r="E13" i="53"/>
  <c r="C54" i="40"/>
  <c r="F48" i="16"/>
  <c r="I16" i="21"/>
  <c r="M16" i="21" s="1"/>
  <c r="L15" i="12"/>
  <c r="P15" i="12" s="1"/>
  <c r="F12" i="44" s="1"/>
  <c r="F14" i="44" s="1"/>
  <c r="E14" i="44"/>
  <c r="E12" i="44" s="1"/>
  <c r="L18" i="12"/>
  <c r="M28" i="30"/>
  <c r="L27" i="30"/>
  <c r="J12" i="46" s="1"/>
  <c r="J25" i="30"/>
  <c r="I12" i="46" s="1"/>
  <c r="C12" i="46"/>
  <c r="K26" i="30"/>
  <c r="G14" i="15"/>
  <c r="C12" i="53"/>
  <c r="C14" i="46"/>
  <c r="K22" i="30"/>
  <c r="L23" i="30"/>
  <c r="J14" i="46" s="1"/>
  <c r="M24" i="30"/>
  <c r="J21" i="30"/>
  <c r="I14" i="46" s="1"/>
  <c r="E48" i="40"/>
  <c r="J48" i="40" s="1"/>
  <c r="S174" i="58"/>
  <c r="S90" i="58" s="1"/>
  <c r="F144" i="55"/>
  <c r="F19" i="45"/>
  <c r="N9" i="46"/>
  <c r="E12" i="21"/>
  <c r="G12" i="21" s="1"/>
  <c r="AA169" i="19"/>
  <c r="AA168" i="19"/>
  <c r="AB168" i="19" s="1"/>
  <c r="F18" i="11" s="1"/>
  <c r="M9" i="46"/>
  <c r="O9" i="46"/>
  <c r="E10" i="21"/>
  <c r="G10" i="21" s="1"/>
  <c r="Z113" i="19"/>
  <c r="AI112" i="19"/>
  <c r="T111" i="19"/>
  <c r="AC110" i="19"/>
  <c r="E110" i="19"/>
  <c r="AF108" i="19"/>
  <c r="AG108" i="19" s="1"/>
  <c r="C36" i="41"/>
  <c r="C36" i="42" s="1"/>
  <c r="C36" i="43" s="1"/>
  <c r="F15" i="7"/>
  <c r="Q17" i="21"/>
  <c r="E37" i="30" s="1"/>
  <c r="C17" i="46" s="1"/>
  <c r="C16" i="46" s="1"/>
  <c r="D22" i="37"/>
  <c r="T22" i="37" s="1"/>
  <c r="E21" i="2"/>
  <c r="AC21" i="2" s="1"/>
  <c r="AC115" i="19"/>
  <c r="E115" i="19"/>
  <c r="Z110" i="19"/>
  <c r="E15" i="38"/>
  <c r="C25" i="41"/>
  <c r="C26" i="41" s="1"/>
  <c r="Z115" i="19"/>
  <c r="AI114" i="19"/>
  <c r="AC112" i="19"/>
  <c r="E112" i="19"/>
  <c r="AF109" i="19"/>
  <c r="F25" i="7"/>
  <c r="C12" i="22" s="1"/>
  <c r="C11" i="22" s="1"/>
  <c r="I12" i="22" s="1"/>
  <c r="J11" i="22" s="1"/>
  <c r="F19" i="7"/>
  <c r="H14" i="26" s="1"/>
  <c r="I14" i="26" s="1"/>
  <c r="E15" i="2"/>
  <c r="E35" i="38"/>
  <c r="AC35" i="38" s="1"/>
  <c r="AE35" i="38" s="1"/>
  <c r="C30" i="41"/>
  <c r="C30" i="42" s="1"/>
  <c r="C30" i="43" s="1"/>
  <c r="Z112" i="19"/>
  <c r="AC109" i="19"/>
  <c r="E109" i="19"/>
  <c r="AC108" i="19"/>
  <c r="AD108" i="19" s="1"/>
  <c r="E108" i="19"/>
  <c r="F108" i="19" s="1"/>
  <c r="F13" i="7"/>
  <c r="H12" i="26" s="1"/>
  <c r="I12" i="26" s="1"/>
  <c r="Q9" i="21"/>
  <c r="E13" i="30" s="1"/>
  <c r="J13" i="30" s="1"/>
  <c r="E35" i="2"/>
  <c r="U35" i="2" s="1"/>
  <c r="E33" i="38"/>
  <c r="AD33" i="38" s="1"/>
  <c r="AF33" i="38" s="1"/>
  <c r="D19" i="45"/>
  <c r="E33" i="2"/>
  <c r="AA33" i="2" s="1"/>
  <c r="N25" i="43" s="1"/>
  <c r="N26" i="43" s="1"/>
  <c r="E21" i="38"/>
  <c r="AD21" i="38" s="1"/>
  <c r="AF21" i="38" s="1"/>
  <c r="D8" i="24"/>
  <c r="E8" i="24" s="1"/>
  <c r="Z114" i="19"/>
  <c r="AC111" i="19"/>
  <c r="E111" i="19"/>
  <c r="F17" i="7"/>
  <c r="D13" i="37"/>
  <c r="T13" i="37" s="1"/>
  <c r="E31" i="2"/>
  <c r="AC114" i="19"/>
  <c r="E114" i="19"/>
  <c r="Z111" i="19"/>
  <c r="F22" i="7"/>
  <c r="E27" i="2"/>
  <c r="C124" i="22"/>
  <c r="C123" i="22" s="1"/>
  <c r="D25" i="37"/>
  <c r="T25" i="37" s="1"/>
  <c r="C20" i="16" s="1"/>
  <c r="C34" i="22" s="1"/>
  <c r="C33" i="22" s="1"/>
  <c r="H31" i="2"/>
  <c r="E34" i="43"/>
  <c r="H24" i="2"/>
  <c r="AG24" i="2" s="1"/>
  <c r="E19" i="43"/>
  <c r="H34" i="2"/>
  <c r="E36" i="43"/>
  <c r="H29" i="2"/>
  <c r="E33" i="43"/>
  <c r="H32" i="2"/>
  <c r="E35" i="43"/>
  <c r="H27" i="2"/>
  <c r="E30" i="43"/>
  <c r="H18" i="2"/>
  <c r="D18" i="43" s="1"/>
  <c r="E18" i="43"/>
  <c r="H15" i="2"/>
  <c r="E17" i="43"/>
  <c r="O46" i="43"/>
  <c r="L46" i="43"/>
  <c r="K46" i="43"/>
  <c r="J46" i="43"/>
  <c r="G18" i="42"/>
  <c r="T19" i="37"/>
  <c r="G19" i="42"/>
  <c r="AC19" i="38"/>
  <c r="AE19" i="38" s="1"/>
  <c r="AD27" i="38"/>
  <c r="AF27" i="38" s="1"/>
  <c r="AC25" i="38"/>
  <c r="AE25" i="38" s="1"/>
  <c r="AC17" i="38"/>
  <c r="AE17" i="38" s="1"/>
  <c r="T31" i="37"/>
  <c r="D37" i="40" s="1"/>
  <c r="AD19" i="38"/>
  <c r="AF19" i="38" s="1"/>
  <c r="G17" i="42"/>
  <c r="T33" i="37"/>
  <c r="T14" i="37"/>
  <c r="AD17" i="38"/>
  <c r="AF17" i="38" s="1"/>
  <c r="Z37" i="2"/>
  <c r="AA37" i="2"/>
  <c r="AD37" i="2"/>
  <c r="AE37" i="2"/>
  <c r="AG37" i="2"/>
  <c r="AK37" i="2"/>
  <c r="AL37" i="2"/>
  <c r="AB37" i="2"/>
  <c r="AC37" i="2"/>
  <c r="AH37" i="2"/>
  <c r="AI37" i="2"/>
  <c r="AJ37" i="2"/>
  <c r="AH36" i="2"/>
  <c r="AI36" i="2"/>
  <c r="AL36" i="2"/>
  <c r="AC36" i="2"/>
  <c r="AD36" i="2"/>
  <c r="AE36" i="2"/>
  <c r="AG36" i="2"/>
  <c r="AJ36" i="2"/>
  <c r="AK36" i="2"/>
  <c r="Z36" i="2"/>
  <c r="AA36" i="2"/>
  <c r="AB36" i="2"/>
  <c r="F30" i="7"/>
  <c r="C35" i="41"/>
  <c r="C35" i="42" s="1"/>
  <c r="C35" i="43" s="1"/>
  <c r="E32" i="2"/>
  <c r="W32" i="2" s="1"/>
  <c r="C12" i="16"/>
  <c r="D23" i="37"/>
  <c r="T23" i="37" s="1"/>
  <c r="E23" i="38"/>
  <c r="AC23" i="38" s="1"/>
  <c r="AE23" i="38" s="1"/>
  <c r="C18" i="41"/>
  <c r="D28" i="37"/>
  <c r="T28" i="37" s="1"/>
  <c r="C31" i="41"/>
  <c r="D27" i="37"/>
  <c r="T27" i="37" s="1"/>
  <c r="E29" i="2"/>
  <c r="E28" i="2"/>
  <c r="W28" i="2" s="1"/>
  <c r="E28" i="38"/>
  <c r="F26" i="7"/>
  <c r="D22" i="40" s="1"/>
  <c r="J22" i="40" s="1"/>
  <c r="F18" i="7"/>
  <c r="E20" i="2"/>
  <c r="E37" i="38"/>
  <c r="AC37" i="38" s="1"/>
  <c r="AE37" i="38" s="1"/>
  <c r="E22" i="38"/>
  <c r="D21" i="37"/>
  <c r="T21" i="37" s="1"/>
  <c r="E30" i="2"/>
  <c r="E36" i="38"/>
  <c r="AC36" i="38" s="1"/>
  <c r="AE36" i="38" s="1"/>
  <c r="D35" i="37"/>
  <c r="T35" i="37" s="1"/>
  <c r="D20" i="37"/>
  <c r="T20" i="37" s="1"/>
  <c r="E20" i="38"/>
  <c r="C22" i="41"/>
  <c r="F23" i="7"/>
  <c r="F16" i="7"/>
  <c r="D34" i="37"/>
  <c r="T34" i="37" s="1"/>
  <c r="D18" i="37"/>
  <c r="T18" i="37" s="1"/>
  <c r="E26" i="2"/>
  <c r="W26" i="2" s="1"/>
  <c r="E34" i="38"/>
  <c r="E18" i="38"/>
  <c r="D17" i="37"/>
  <c r="T17" i="37" s="1"/>
  <c r="E25" i="2"/>
  <c r="U25" i="2" s="1"/>
  <c r="C19" i="41"/>
  <c r="D15" i="37"/>
  <c r="T15" i="37" s="1"/>
  <c r="E17" i="2"/>
  <c r="AC31" i="38"/>
  <c r="AE31" i="38" s="1"/>
  <c r="D30" i="37"/>
  <c r="T30" i="37" s="1"/>
  <c r="E23" i="2"/>
  <c r="W23" i="2" s="1"/>
  <c r="E30" i="38"/>
  <c r="D32" i="37"/>
  <c r="T32" i="37" s="1"/>
  <c r="E32" i="38"/>
  <c r="G33" i="41"/>
  <c r="F28" i="7"/>
  <c r="E16" i="2"/>
  <c r="E16" i="38"/>
  <c r="F14" i="7"/>
  <c r="D29" i="37"/>
  <c r="T29" i="37" s="1"/>
  <c r="E22" i="2"/>
  <c r="U22" i="2" s="1"/>
  <c r="E29" i="38"/>
  <c r="D26" i="37"/>
  <c r="T26" i="37" s="1"/>
  <c r="D36" i="40" s="1"/>
  <c r="E26" i="38"/>
  <c r="AD26" i="38" s="1"/>
  <c r="AF26" i="38" s="1"/>
  <c r="E19" i="2"/>
  <c r="W19" i="2" s="1"/>
  <c r="C33" i="41"/>
  <c r="C33" i="42" s="1"/>
  <c r="C33" i="43" s="1"/>
  <c r="AH35" i="2"/>
  <c r="D24" i="37"/>
  <c r="T24" i="37" s="1"/>
  <c r="E34" i="2"/>
  <c r="E18" i="2"/>
  <c r="E24" i="38"/>
  <c r="C34" i="41"/>
  <c r="C34" i="42" s="1"/>
  <c r="C34" i="43" s="1"/>
  <c r="C15" i="22"/>
  <c r="I16" i="22" s="1"/>
  <c r="J15" i="22" s="1"/>
  <c r="V26" i="16"/>
  <c r="V25" i="16"/>
  <c r="V23" i="16"/>
  <c r="V22" i="16"/>
  <c r="V21" i="16"/>
  <c r="V27" i="16"/>
  <c r="V24" i="16"/>
  <c r="C111" i="22"/>
  <c r="U37" i="2"/>
  <c r="W37" i="2"/>
  <c r="U36" i="2"/>
  <c r="AC27" i="38"/>
  <c r="AE27" i="38" s="1"/>
  <c r="AD25" i="38"/>
  <c r="AF25" i="38" s="1"/>
  <c r="W36" i="2"/>
  <c r="AG31" i="2" l="1"/>
  <c r="AC24" i="2"/>
  <c r="L19" i="30"/>
  <c r="J13" i="46" s="1"/>
  <c r="D11" i="45"/>
  <c r="K34" i="30"/>
  <c r="C20" i="46"/>
  <c r="C19" i="46" s="1"/>
  <c r="S158" i="58"/>
  <c r="S61" i="58" s="1"/>
  <c r="M20" i="30"/>
  <c r="U20" i="27"/>
  <c r="L35" i="30"/>
  <c r="J20" i="46" s="1"/>
  <c r="J19" i="46" s="1"/>
  <c r="J33" i="30"/>
  <c r="I20" i="46" s="1"/>
  <c r="I19" i="46" s="1"/>
  <c r="U26" i="2"/>
  <c r="U33" i="2"/>
  <c r="E37" i="40" s="1"/>
  <c r="J37" i="40" s="1"/>
  <c r="AC33" i="2"/>
  <c r="AI31" i="2"/>
  <c r="C9" i="22"/>
  <c r="C82" i="30"/>
  <c r="F37" i="30" s="1"/>
  <c r="C26" i="16"/>
  <c r="C74" i="22" s="1"/>
  <c r="C73" i="22" s="1"/>
  <c r="AC33" i="38"/>
  <c r="AE33" i="38" s="1"/>
  <c r="K25" i="42"/>
  <c r="K26" i="42" s="1"/>
  <c r="K18" i="30"/>
  <c r="C13" i="46"/>
  <c r="W35" i="2"/>
  <c r="U17" i="27"/>
  <c r="AE31" i="2"/>
  <c r="W34" i="2"/>
  <c r="AB33" i="2"/>
  <c r="AB169" i="19"/>
  <c r="U27" i="27"/>
  <c r="AK33" i="2"/>
  <c r="AG33" i="2"/>
  <c r="W33" i="2"/>
  <c r="AH33" i="2"/>
  <c r="Z24" i="2"/>
  <c r="AG35" i="2"/>
  <c r="AD35" i="2"/>
  <c r="AJ15" i="2"/>
  <c r="W15" i="2"/>
  <c r="U33" i="27"/>
  <c r="U29" i="27"/>
  <c r="AI35" i="2"/>
  <c r="Z35" i="2"/>
  <c r="AL35" i="2"/>
  <c r="AK35" i="2"/>
  <c r="AB35" i="2"/>
  <c r="U16" i="27"/>
  <c r="U32" i="27"/>
  <c r="C22" i="46"/>
  <c r="L31" i="30"/>
  <c r="J22" i="46" s="1"/>
  <c r="K30" i="30"/>
  <c r="J29" i="30"/>
  <c r="I22" i="46" s="1"/>
  <c r="H9" i="13"/>
  <c r="M7" i="13"/>
  <c r="N7" i="13" s="1"/>
  <c r="AG21" i="2"/>
  <c r="AI33" i="2"/>
  <c r="AE21" i="2"/>
  <c r="K13" i="27"/>
  <c r="Z21" i="2"/>
  <c r="AB31" i="2"/>
  <c r="I124" i="22"/>
  <c r="J123" i="22" s="1"/>
  <c r="W21" i="2"/>
  <c r="U26" i="27"/>
  <c r="AE35" i="2"/>
  <c r="AG31" i="38"/>
  <c r="D34" i="16" s="1"/>
  <c r="C90" i="22" s="1"/>
  <c r="C89" i="22" s="1"/>
  <c r="I90" i="22" s="1"/>
  <c r="J89" i="22" s="1"/>
  <c r="AB15" i="2"/>
  <c r="U35" i="27"/>
  <c r="U13" i="27"/>
  <c r="D33" i="40"/>
  <c r="W27" i="2"/>
  <c r="M11" i="21"/>
  <c r="J11" i="21"/>
  <c r="AG19" i="38"/>
  <c r="AA35" i="2"/>
  <c r="AG15" i="2"/>
  <c r="AJ33" i="2"/>
  <c r="AA31" i="2"/>
  <c r="N34" i="43" s="1"/>
  <c r="AL21" i="2"/>
  <c r="Z27" i="2"/>
  <c r="I30" i="43" s="1"/>
  <c r="AI15" i="2"/>
  <c r="AL33" i="2"/>
  <c r="AE33" i="2"/>
  <c r="AJ35" i="2"/>
  <c r="Z31" i="2"/>
  <c r="I34" i="43" s="1"/>
  <c r="AH31" i="2"/>
  <c r="AC21" i="38"/>
  <c r="AE21" i="38" s="1"/>
  <c r="AG21" i="38" s="1"/>
  <c r="AD33" i="2"/>
  <c r="Q25" i="43" s="1"/>
  <c r="Q26" i="43" s="1"/>
  <c r="AC35" i="2"/>
  <c r="J42" i="27"/>
  <c r="AK31" i="2"/>
  <c r="U31" i="2"/>
  <c r="D24" i="16" s="1"/>
  <c r="U24" i="2"/>
  <c r="H25" i="26" s="1"/>
  <c r="I25" i="26" s="1"/>
  <c r="AD31" i="2"/>
  <c r="D19" i="43"/>
  <c r="AD21" i="2"/>
  <c r="Z33" i="2"/>
  <c r="I25" i="43" s="1"/>
  <c r="I26" i="43" s="1"/>
  <c r="U27" i="2"/>
  <c r="X30" i="43" s="1"/>
  <c r="U30" i="2"/>
  <c r="X31" i="43" s="1"/>
  <c r="W24" i="2"/>
  <c r="AA21" i="2"/>
  <c r="S152" i="58"/>
  <c r="S56" i="58" s="1"/>
  <c r="F56" i="58" s="1"/>
  <c r="H56" i="58" s="1"/>
  <c r="AH21" i="2"/>
  <c r="C15" i="20"/>
  <c r="M15" i="20" s="1"/>
  <c r="U15" i="27"/>
  <c r="U23" i="27"/>
  <c r="U37" i="27"/>
  <c r="J54" i="40"/>
  <c r="C39" i="60"/>
  <c r="K39" i="60" s="1"/>
  <c r="C39" i="59"/>
  <c r="O39" i="59" s="1"/>
  <c r="U21" i="27"/>
  <c r="U38" i="27"/>
  <c r="U34" i="27"/>
  <c r="M15" i="21"/>
  <c r="J15" i="21"/>
  <c r="L6" i="13"/>
  <c r="L10" i="13" s="1"/>
  <c r="K10" i="13"/>
  <c r="Z15" i="2"/>
  <c r="U12" i="27"/>
  <c r="R42" i="27"/>
  <c r="U24" i="27"/>
  <c r="N6" i="13"/>
  <c r="N10" i="13" s="1"/>
  <c r="M10" i="13"/>
  <c r="U30" i="27"/>
  <c r="AK15" i="2"/>
  <c r="AL24" i="2"/>
  <c r="AA24" i="2"/>
  <c r="AE15" i="2"/>
  <c r="AB21" i="2"/>
  <c r="I14" i="11"/>
  <c r="U18" i="2"/>
  <c r="H23" i="26" s="1"/>
  <c r="I23" i="26" s="1"/>
  <c r="U21" i="2"/>
  <c r="D17" i="43"/>
  <c r="S150" i="58"/>
  <c r="S60" i="58" s="1"/>
  <c r="F60" i="58" s="1"/>
  <c r="H60" i="58" s="1"/>
  <c r="AE24" i="2"/>
  <c r="G25" i="41"/>
  <c r="G26" i="41" s="1"/>
  <c r="F26" i="41" s="1"/>
  <c r="AI24" i="2"/>
  <c r="AJ21" i="2"/>
  <c r="AD15" i="2"/>
  <c r="AJ31" i="2"/>
  <c r="U36" i="27"/>
  <c r="M8" i="13"/>
  <c r="N8" i="13" s="1"/>
  <c r="AD37" i="38"/>
  <c r="AF37" i="38" s="1"/>
  <c r="AB24" i="2"/>
  <c r="AA15" i="2"/>
  <c r="C25" i="42"/>
  <c r="C26" i="42" s="1"/>
  <c r="U39" i="27"/>
  <c r="T42" i="27"/>
  <c r="W25" i="16"/>
  <c r="AI21" i="2"/>
  <c r="AG27" i="38"/>
  <c r="D30" i="16" s="1"/>
  <c r="C82" i="22" s="1"/>
  <c r="W31" i="2"/>
  <c r="AD24" i="2"/>
  <c r="AH15" i="2"/>
  <c r="AH24" i="2"/>
  <c r="AL31" i="2"/>
  <c r="AJ24" i="2"/>
  <c r="AK21" i="2"/>
  <c r="U15" i="2"/>
  <c r="AC31" i="2"/>
  <c r="M17" i="21"/>
  <c r="U17" i="21" s="1"/>
  <c r="K14" i="27"/>
  <c r="K15" i="27" s="1"/>
  <c r="K16" i="27" s="1"/>
  <c r="K17" i="27" s="1"/>
  <c r="K18" i="27" s="1"/>
  <c r="K19" i="27" s="1"/>
  <c r="K20" i="27" s="1"/>
  <c r="K21" i="27" s="1"/>
  <c r="K22" i="27" s="1"/>
  <c r="K23" i="27" s="1"/>
  <c r="K24" i="27" s="1"/>
  <c r="K25" i="27" s="1"/>
  <c r="K26" i="27" s="1"/>
  <c r="K27" i="27" s="1"/>
  <c r="K28" i="27" s="1"/>
  <c r="K29" i="27" s="1"/>
  <c r="K30" i="27" s="1"/>
  <c r="K31" i="27" s="1"/>
  <c r="K32" i="27" s="1"/>
  <c r="K33" i="27" s="1"/>
  <c r="K34" i="27" s="1"/>
  <c r="K35" i="27" s="1"/>
  <c r="K36" i="27" s="1"/>
  <c r="K37" i="27" s="1"/>
  <c r="K38" i="27" s="1"/>
  <c r="K39" i="27" s="1"/>
  <c r="K40" i="27" s="1"/>
  <c r="M15" i="13"/>
  <c r="M19" i="13" s="1"/>
  <c r="I19" i="13"/>
  <c r="J18" i="21"/>
  <c r="U14" i="27"/>
  <c r="D19" i="40"/>
  <c r="J19" i="40" s="1"/>
  <c r="AG33" i="38"/>
  <c r="D36" i="16" s="1"/>
  <c r="C94" i="22" s="1"/>
  <c r="J16" i="21"/>
  <c r="C9" i="16"/>
  <c r="D23" i="40"/>
  <c r="J23" i="40" s="1"/>
  <c r="C24" i="22"/>
  <c r="AD35" i="38"/>
  <c r="AF35" i="38" s="1"/>
  <c r="AG35" i="38" s="1"/>
  <c r="F18" i="42"/>
  <c r="AG25" i="38"/>
  <c r="AG17" i="38"/>
  <c r="G34" i="41"/>
  <c r="G34" i="42" s="1"/>
  <c r="C20" i="22"/>
  <c r="C19" i="22" s="1"/>
  <c r="I20" i="22" s="1"/>
  <c r="J19" i="22" s="1"/>
  <c r="X108" i="19"/>
  <c r="Q143" i="19"/>
  <c r="E34" i="40"/>
  <c r="D17" i="42"/>
  <c r="AD15" i="38"/>
  <c r="AF15" i="38" s="1"/>
  <c r="AC15" i="38"/>
  <c r="AE15" i="38" s="1"/>
  <c r="M13" i="21"/>
  <c r="U13" i="21" s="1"/>
  <c r="D34" i="40"/>
  <c r="H15" i="26"/>
  <c r="I15" i="26" s="1"/>
  <c r="D20" i="40"/>
  <c r="J20" i="40" s="1"/>
  <c r="D24" i="40"/>
  <c r="J24" i="40" s="1"/>
  <c r="C10" i="16"/>
  <c r="G30" i="41" s="1"/>
  <c r="F30" i="41" s="1"/>
  <c r="I12" i="21"/>
  <c r="J12" i="21" s="1"/>
  <c r="N11" i="16"/>
  <c r="S153" i="58"/>
  <c r="S57" i="58" s="1"/>
  <c r="F57" i="58" s="1"/>
  <c r="H57" i="58" s="1"/>
  <c r="K30" i="42"/>
  <c r="J30" i="42" s="1"/>
  <c r="D38" i="40"/>
  <c r="G19" i="41"/>
  <c r="F19" i="41" s="1"/>
  <c r="F33" i="41"/>
  <c r="H16" i="26"/>
  <c r="I16" i="26" s="1"/>
  <c r="F144" i="56"/>
  <c r="N144" i="56" s="1"/>
  <c r="N144" i="55"/>
  <c r="E16" i="44"/>
  <c r="J21" i="12"/>
  <c r="P18" i="12"/>
  <c r="D32" i="40"/>
  <c r="C11" i="46"/>
  <c r="K14" i="30"/>
  <c r="L15" i="30"/>
  <c r="M16" i="30"/>
  <c r="I10" i="21"/>
  <c r="J10" i="21" s="1"/>
  <c r="F90" i="58"/>
  <c r="H90" i="58" s="1"/>
  <c r="G90" i="58"/>
  <c r="Q15" i="12"/>
  <c r="I14" i="21"/>
  <c r="J14" i="21" s="1"/>
  <c r="D18" i="40"/>
  <c r="J18" i="40" s="1"/>
  <c r="E12" i="53"/>
  <c r="E10" i="53" s="1"/>
  <c r="G15" i="15"/>
  <c r="U23" i="2"/>
  <c r="AI27" i="2"/>
  <c r="AB27" i="2"/>
  <c r="AL27" i="2"/>
  <c r="AC27" i="2"/>
  <c r="AJ27" i="2"/>
  <c r="AE27" i="2"/>
  <c r="AG27" i="2"/>
  <c r="AK27" i="2"/>
  <c r="AC15" i="2"/>
  <c r="AD27" i="2"/>
  <c r="Q30" i="43" s="1"/>
  <c r="AL15" i="2"/>
  <c r="AA27" i="2"/>
  <c r="AH27" i="2"/>
  <c r="AK24" i="2"/>
  <c r="W22" i="2"/>
  <c r="W30" i="2"/>
  <c r="S154" i="58"/>
  <c r="S80" i="58" s="1"/>
  <c r="F80" i="58" s="1"/>
  <c r="H80" i="58" s="1"/>
  <c r="K36" i="42"/>
  <c r="J36" i="42" s="1"/>
  <c r="C32" i="22"/>
  <c r="K19" i="42"/>
  <c r="C31" i="22"/>
  <c r="S156" i="58"/>
  <c r="S73" i="58" s="1"/>
  <c r="F73" i="58" s="1"/>
  <c r="H73" i="58" s="1"/>
  <c r="S157" i="58"/>
  <c r="S76" i="58" s="1"/>
  <c r="F76" i="58" s="1"/>
  <c r="H76" i="58" s="1"/>
  <c r="C19" i="16"/>
  <c r="AG37" i="38"/>
  <c r="Z29" i="2"/>
  <c r="I33" i="43" s="1"/>
  <c r="AA29" i="2"/>
  <c r="N33" i="43" s="1"/>
  <c r="AD29" i="2"/>
  <c r="AE29" i="2"/>
  <c r="AG29" i="2"/>
  <c r="AH29" i="2"/>
  <c r="AI29" i="2"/>
  <c r="AJ29" i="2"/>
  <c r="AK29" i="2"/>
  <c r="AL29" i="2"/>
  <c r="AB29" i="2"/>
  <c r="AC29" i="2"/>
  <c r="AC24" i="38"/>
  <c r="AE24" i="38" s="1"/>
  <c r="D19" i="42"/>
  <c r="AH18" i="2"/>
  <c r="AI18" i="2"/>
  <c r="AL18" i="2"/>
  <c r="AC18" i="2"/>
  <c r="AD18" i="2"/>
  <c r="AE18" i="2"/>
  <c r="AG18" i="2"/>
  <c r="AJ18" i="2"/>
  <c r="AK18" i="2"/>
  <c r="Z18" i="2"/>
  <c r="AA18" i="2"/>
  <c r="AB18" i="2"/>
  <c r="AH20" i="2"/>
  <c r="AI20" i="2"/>
  <c r="AL20" i="2"/>
  <c r="AG20" i="2"/>
  <c r="AJ20" i="2"/>
  <c r="AK20" i="2"/>
  <c r="Z20" i="2"/>
  <c r="AA20" i="2"/>
  <c r="AB20" i="2"/>
  <c r="AC20" i="2"/>
  <c r="AD20" i="2"/>
  <c r="AE20" i="2"/>
  <c r="AC16" i="38"/>
  <c r="F17" i="42"/>
  <c r="AD16" i="38"/>
  <c r="AF16" i="38" s="1"/>
  <c r="C23" i="16"/>
  <c r="K31" i="42"/>
  <c r="C27" i="16"/>
  <c r="C21" i="16"/>
  <c r="K22" i="42"/>
  <c r="AH16" i="2"/>
  <c r="AI16" i="2"/>
  <c r="AL16" i="2"/>
  <c r="AK16" i="2"/>
  <c r="Z16" i="2"/>
  <c r="AA16" i="2"/>
  <c r="AB16" i="2"/>
  <c r="AC16" i="2"/>
  <c r="AD16" i="2"/>
  <c r="AE16" i="2"/>
  <c r="AG16" i="2"/>
  <c r="AJ16" i="2"/>
  <c r="Z17" i="2"/>
  <c r="AA17" i="2"/>
  <c r="AD17" i="2"/>
  <c r="AE17" i="2"/>
  <c r="AG17" i="2"/>
  <c r="AH17" i="2"/>
  <c r="AI17" i="2"/>
  <c r="AJ17" i="2"/>
  <c r="AK17" i="2"/>
  <c r="AL17" i="2"/>
  <c r="AB17" i="2"/>
  <c r="AC17" i="2"/>
  <c r="G17" i="41"/>
  <c r="S155" i="58"/>
  <c r="S77" i="58" s="1"/>
  <c r="C22" i="22"/>
  <c r="C21" i="22" s="1"/>
  <c r="I22" i="22" s="1"/>
  <c r="J21" i="22" s="1"/>
  <c r="C15" i="16"/>
  <c r="G35" i="41"/>
  <c r="F35" i="41" s="1"/>
  <c r="U16" i="2"/>
  <c r="F36" i="7"/>
  <c r="AD22" i="38"/>
  <c r="AF22" i="38" s="1"/>
  <c r="AC22" i="38"/>
  <c r="AE22" i="38" s="1"/>
  <c r="W16" i="2"/>
  <c r="S149" i="58"/>
  <c r="S59" i="58" s="1"/>
  <c r="C23" i="41"/>
  <c r="C22" i="42"/>
  <c r="AH26" i="2"/>
  <c r="AI26" i="2"/>
  <c r="AL26" i="2"/>
  <c r="AG26" i="2"/>
  <c r="AJ26" i="2"/>
  <c r="AK26" i="2"/>
  <c r="Z26" i="2"/>
  <c r="AA26" i="2"/>
  <c r="AB26" i="2"/>
  <c r="AC26" i="2"/>
  <c r="AD26" i="2"/>
  <c r="AE26" i="2"/>
  <c r="AC20" i="38"/>
  <c r="AE20" i="38" s="1"/>
  <c r="AD20" i="38"/>
  <c r="AF20" i="38" s="1"/>
  <c r="E18" i="42"/>
  <c r="AD32" i="38"/>
  <c r="AF32" i="38" s="1"/>
  <c r="AC32" i="38"/>
  <c r="AE32" i="38" s="1"/>
  <c r="U20" i="2"/>
  <c r="AD24" i="38"/>
  <c r="AF24" i="38" s="1"/>
  <c r="W20" i="2"/>
  <c r="U19" i="2"/>
  <c r="E38" i="38"/>
  <c r="Z23" i="2"/>
  <c r="AA23" i="2"/>
  <c r="AD23" i="2"/>
  <c r="AE23" i="2"/>
  <c r="AG23" i="2"/>
  <c r="AH23" i="2"/>
  <c r="AI23" i="2"/>
  <c r="AJ23" i="2"/>
  <c r="AK23" i="2"/>
  <c r="AL23" i="2"/>
  <c r="AB23" i="2"/>
  <c r="AC23" i="2"/>
  <c r="AH30" i="2"/>
  <c r="AI30" i="2"/>
  <c r="AL30" i="2"/>
  <c r="AC30" i="2"/>
  <c r="AD30" i="2"/>
  <c r="AE30" i="2"/>
  <c r="AG30" i="2"/>
  <c r="AJ30" i="2"/>
  <c r="AK30" i="2"/>
  <c r="Z30" i="2"/>
  <c r="I31" i="43" s="1"/>
  <c r="AA30" i="2"/>
  <c r="N31" i="43" s="1"/>
  <c r="AB30" i="2"/>
  <c r="C14" i="22"/>
  <c r="C13" i="22" s="1"/>
  <c r="G22" i="41"/>
  <c r="C11" i="16"/>
  <c r="F61" i="58"/>
  <c r="G61" i="58"/>
  <c r="U29" i="2"/>
  <c r="X33" i="43" s="1"/>
  <c r="C25" i="16"/>
  <c r="K35" i="42"/>
  <c r="J35" i="42" s="1"/>
  <c r="C28" i="41"/>
  <c r="C31" i="42"/>
  <c r="S163" i="58"/>
  <c r="S89" i="58" s="1"/>
  <c r="X19" i="43"/>
  <c r="E17" i="42"/>
  <c r="U17" i="2"/>
  <c r="C19" i="43"/>
  <c r="C19" i="42"/>
  <c r="AD34" i="38"/>
  <c r="AF34" i="38" s="1"/>
  <c r="AC34" i="38"/>
  <c r="AE34" i="38" s="1"/>
  <c r="AD23" i="38"/>
  <c r="AF23" i="38" s="1"/>
  <c r="AG23" i="38" s="1"/>
  <c r="T36" i="37"/>
  <c r="AC30" i="38"/>
  <c r="AE30" i="38" s="1"/>
  <c r="AD30" i="38"/>
  <c r="AF30" i="38" s="1"/>
  <c r="U32" i="2"/>
  <c r="AD36" i="38"/>
  <c r="AF36" i="38" s="1"/>
  <c r="AG36" i="38" s="1"/>
  <c r="S164" i="58"/>
  <c r="S64" i="58" s="1"/>
  <c r="X25" i="43"/>
  <c r="K18" i="42"/>
  <c r="K17" i="42"/>
  <c r="AC26" i="38"/>
  <c r="AE26" i="38" s="1"/>
  <c r="AG26" i="38" s="1"/>
  <c r="E19" i="42"/>
  <c r="AC29" i="38"/>
  <c r="AE29" i="38" s="1"/>
  <c r="AD29" i="38"/>
  <c r="AF29" i="38" s="1"/>
  <c r="S151" i="58"/>
  <c r="S55" i="58" s="1"/>
  <c r="G18" i="41"/>
  <c r="F18" i="41" s="1"/>
  <c r="C10" i="22"/>
  <c r="H13" i="26"/>
  <c r="I13" i="26" s="1"/>
  <c r="AC28" i="38"/>
  <c r="AE28" i="38" s="1"/>
  <c r="AD28" i="38"/>
  <c r="AF28" i="38" s="1"/>
  <c r="I34" i="22"/>
  <c r="J33" i="22" s="1"/>
  <c r="C15" i="41"/>
  <c r="C10" i="41" s="1"/>
  <c r="C17" i="42"/>
  <c r="C17" i="43"/>
  <c r="Z19" i="2"/>
  <c r="AA19" i="2"/>
  <c r="AD19" i="2"/>
  <c r="AE19" i="2"/>
  <c r="AG19" i="2"/>
  <c r="AK19" i="2"/>
  <c r="AL19" i="2"/>
  <c r="AB19" i="2"/>
  <c r="AC19" i="2"/>
  <c r="AH19" i="2"/>
  <c r="AI19" i="2"/>
  <c r="AJ19" i="2"/>
  <c r="C24" i="16"/>
  <c r="K34" i="42"/>
  <c r="J34" i="42" s="1"/>
  <c r="Z25" i="2"/>
  <c r="AA25" i="2"/>
  <c r="AD25" i="2"/>
  <c r="AE25" i="2"/>
  <c r="AG25" i="2"/>
  <c r="AK25" i="2"/>
  <c r="AL25" i="2"/>
  <c r="AB25" i="2"/>
  <c r="AC25" i="2"/>
  <c r="AH25" i="2"/>
  <c r="AI25" i="2"/>
  <c r="AJ25" i="2"/>
  <c r="S159" i="58"/>
  <c r="S75" i="58" s="1"/>
  <c r="C22" i="16"/>
  <c r="C38" i="22" s="1"/>
  <c r="K33" i="42"/>
  <c r="J33" i="42" s="1"/>
  <c r="AH32" i="2"/>
  <c r="AI32" i="2"/>
  <c r="AL32" i="2"/>
  <c r="AG32" i="2"/>
  <c r="AJ32" i="2"/>
  <c r="AK32" i="2"/>
  <c r="Z32" i="2"/>
  <c r="I35" i="43" s="1"/>
  <c r="AA32" i="2"/>
  <c r="N35" i="43" s="1"/>
  <c r="AB32" i="2"/>
  <c r="AC32" i="2"/>
  <c r="AD32" i="2"/>
  <c r="AE32" i="2"/>
  <c r="W25" i="2"/>
  <c r="W29" i="2"/>
  <c r="AH34" i="2"/>
  <c r="AI34" i="2"/>
  <c r="AL34" i="2"/>
  <c r="AK34" i="2"/>
  <c r="Z34" i="2"/>
  <c r="I36" i="43" s="1"/>
  <c r="AA34" i="2"/>
  <c r="AB34" i="2"/>
  <c r="AC34" i="2"/>
  <c r="AD34" i="2"/>
  <c r="AE34" i="2"/>
  <c r="AG34" i="2"/>
  <c r="AJ34" i="2"/>
  <c r="C18" i="22"/>
  <c r="G31" i="41"/>
  <c r="F31" i="41" s="1"/>
  <c r="C13" i="16"/>
  <c r="E38" i="2"/>
  <c r="AD18" i="38"/>
  <c r="AF18" i="38" s="1"/>
  <c r="D18" i="42"/>
  <c r="AC18" i="38"/>
  <c r="AE18" i="38" s="1"/>
  <c r="C18" i="43"/>
  <c r="C18" i="42"/>
  <c r="H24" i="26"/>
  <c r="I24" i="26" s="1"/>
  <c r="U34" i="2"/>
  <c r="W18" i="2"/>
  <c r="W17" i="2"/>
  <c r="AH22" i="2"/>
  <c r="AI22" i="2"/>
  <c r="AL22" i="2"/>
  <c r="AK22" i="2"/>
  <c r="Z22" i="2"/>
  <c r="AA22" i="2"/>
  <c r="AB22" i="2"/>
  <c r="AC22" i="2"/>
  <c r="AD22" i="2"/>
  <c r="AE22" i="2"/>
  <c r="AG22" i="2"/>
  <c r="AJ22" i="2"/>
  <c r="AH28" i="2"/>
  <c r="AI28" i="2"/>
  <c r="AL28" i="2"/>
  <c r="AK28" i="2"/>
  <c r="Z28" i="2"/>
  <c r="I22" i="43" s="1"/>
  <c r="I23" i="43" s="1"/>
  <c r="AA28" i="2"/>
  <c r="N22" i="43" s="1"/>
  <c r="N23" i="43" s="1"/>
  <c r="U28" i="2"/>
  <c r="E36" i="40" s="1"/>
  <c r="J36" i="40" s="1"/>
  <c r="AB28" i="2"/>
  <c r="AC28" i="2"/>
  <c r="AD28" i="2"/>
  <c r="Q22" i="43" s="1"/>
  <c r="AE28" i="2"/>
  <c r="AG28" i="2"/>
  <c r="AJ28" i="2"/>
  <c r="C122" i="22"/>
  <c r="K125" i="22" s="1"/>
  <c r="L125" i="22" s="1"/>
  <c r="C110" i="22"/>
  <c r="D23" i="16"/>
  <c r="H22" i="26"/>
  <c r="I22" i="26" s="1"/>
  <c r="D20" i="16" l="1"/>
  <c r="C62" i="22" s="1"/>
  <c r="S171" i="58"/>
  <c r="S70" i="58" s="1"/>
  <c r="F19" i="11"/>
  <c r="I19" i="11" s="1"/>
  <c r="F15" i="11"/>
  <c r="D26" i="16"/>
  <c r="Q36" i="43"/>
  <c r="Q28" i="43" s="1"/>
  <c r="R30" i="43"/>
  <c r="U30" i="43" s="1"/>
  <c r="L39" i="30"/>
  <c r="J17" i="46" s="1"/>
  <c r="J16" i="46" s="1"/>
  <c r="D17" i="46"/>
  <c r="D16" i="46" s="1"/>
  <c r="J37" i="30"/>
  <c r="M40" i="30"/>
  <c r="K38" i="30"/>
  <c r="K42" i="30" s="1"/>
  <c r="G51" i="16" s="1"/>
  <c r="G7" i="16" s="1"/>
  <c r="M44" i="30"/>
  <c r="F52" i="40" s="1"/>
  <c r="L43" i="30"/>
  <c r="S176" i="58"/>
  <c r="S58" i="58" s="1"/>
  <c r="G58" i="58" s="1"/>
  <c r="C46" i="22"/>
  <c r="C45" i="22" s="1"/>
  <c r="I46" i="22" s="1"/>
  <c r="J45" i="22" s="1"/>
  <c r="S161" i="58"/>
  <c r="S87" i="58" s="1"/>
  <c r="G87" i="58" s="1"/>
  <c r="R26" i="43"/>
  <c r="U15" i="21"/>
  <c r="U11" i="21"/>
  <c r="F20" i="11" s="1"/>
  <c r="I20" i="11" s="1"/>
  <c r="U16" i="21"/>
  <c r="U18" i="21"/>
  <c r="F25" i="41"/>
  <c r="H33" i="26"/>
  <c r="I33" i="26" s="1"/>
  <c r="F11" i="45"/>
  <c r="R34" i="43"/>
  <c r="U34" i="43" s="1"/>
  <c r="C103" i="22"/>
  <c r="C102" i="22" s="1"/>
  <c r="I103" i="22" s="1"/>
  <c r="J102" i="22" s="1"/>
  <c r="E43" i="40"/>
  <c r="J43" i="40" s="1"/>
  <c r="R25" i="43"/>
  <c r="G56" i="58"/>
  <c r="C30" i="22"/>
  <c r="I31" i="22" s="1"/>
  <c r="X34" i="43"/>
  <c r="G60" i="58"/>
  <c r="J26" i="42"/>
  <c r="E32" i="40"/>
  <c r="J32" i="40" s="1"/>
  <c r="J34" i="40"/>
  <c r="U42" i="27"/>
  <c r="V12" i="27" s="1"/>
  <c r="W12" i="27" s="1"/>
  <c r="J25" i="42"/>
  <c r="E33" i="40"/>
  <c r="J33" i="40" s="1"/>
  <c r="C25" i="43"/>
  <c r="M10" i="21"/>
  <c r="U10" i="21" s="1"/>
  <c r="M12" i="21"/>
  <c r="U12" i="21" s="1"/>
  <c r="C23" i="22"/>
  <c r="I24" i="22" s="1"/>
  <c r="J23" i="22" s="1"/>
  <c r="F34" i="41"/>
  <c r="I42" i="26"/>
  <c r="AG32" i="38"/>
  <c r="D35" i="16" s="1"/>
  <c r="C92" i="22" s="1"/>
  <c r="C91" i="22" s="1"/>
  <c r="I92" i="22" s="1"/>
  <c r="J91" i="22" s="1"/>
  <c r="I11" i="46"/>
  <c r="I10" i="46" s="1"/>
  <c r="D37" i="59" s="1"/>
  <c r="H40" i="26"/>
  <c r="I40" i="26" s="1"/>
  <c r="S183" i="58"/>
  <c r="S69" i="58" s="1"/>
  <c r="F130" i="55"/>
  <c r="H54" i="26"/>
  <c r="I54" i="26" s="1"/>
  <c r="M9" i="21"/>
  <c r="U9" i="21" s="1"/>
  <c r="AG29" i="38"/>
  <c r="D32" i="16" s="1"/>
  <c r="C86" i="22" s="1"/>
  <c r="C85" i="22" s="1"/>
  <c r="I86" i="22" s="1"/>
  <c r="J85" i="22" s="1"/>
  <c r="G23" i="41"/>
  <c r="F23" i="41" s="1"/>
  <c r="F22" i="41"/>
  <c r="G15" i="41"/>
  <c r="G10" i="41" s="1"/>
  <c r="F17" i="41"/>
  <c r="C53" i="40"/>
  <c r="F49" i="16"/>
  <c r="C121" i="22"/>
  <c r="G57" i="58"/>
  <c r="Q18" i="12"/>
  <c r="F16" i="44"/>
  <c r="AG34" i="38"/>
  <c r="S172" i="58" s="1"/>
  <c r="S72" i="58" s="1"/>
  <c r="F72" i="58" s="1"/>
  <c r="E20" i="44"/>
  <c r="L21" i="12"/>
  <c r="P21" i="12" s="1"/>
  <c r="AG20" i="38"/>
  <c r="W40" i="2"/>
  <c r="Q19" i="11" s="1"/>
  <c r="S19" i="11" s="1"/>
  <c r="M14" i="21"/>
  <c r="U14" i="21" s="1"/>
  <c r="E38" i="40"/>
  <c r="J38" i="40" s="1"/>
  <c r="C8" i="16"/>
  <c r="N6" i="16" s="1"/>
  <c r="J11" i="46"/>
  <c r="J10" i="46" s="1"/>
  <c r="E37" i="59" s="1"/>
  <c r="O144" i="55"/>
  <c r="P144" i="55"/>
  <c r="G14" i="44"/>
  <c r="G12" i="44" s="1"/>
  <c r="G10" i="44" s="1"/>
  <c r="C39" i="16"/>
  <c r="AG15" i="38"/>
  <c r="D25" i="16"/>
  <c r="X35" i="43"/>
  <c r="J19" i="42"/>
  <c r="G80" i="58"/>
  <c r="G76" i="58"/>
  <c r="G73" i="58"/>
  <c r="W38" i="2"/>
  <c r="C60" i="22"/>
  <c r="X17" i="43"/>
  <c r="C59" i="22"/>
  <c r="I17" i="43"/>
  <c r="AG38" i="2"/>
  <c r="I48" i="43" s="1"/>
  <c r="N28" i="43"/>
  <c r="AG22" i="38"/>
  <c r="S168" i="58" s="1"/>
  <c r="S85" i="58" s="1"/>
  <c r="F85" i="58" s="1"/>
  <c r="H85" i="58" s="1"/>
  <c r="AG18" i="38"/>
  <c r="R35" i="43"/>
  <c r="U35" i="43" s="1"/>
  <c r="X18" i="43"/>
  <c r="C18" i="16"/>
  <c r="N7" i="16" s="1"/>
  <c r="AI38" i="2"/>
  <c r="G48" i="43" s="1"/>
  <c r="AH38" i="2"/>
  <c r="N48" i="43" s="1"/>
  <c r="X22" i="43"/>
  <c r="D21" i="16"/>
  <c r="S162" i="58"/>
  <c r="S82" i="58" s="1"/>
  <c r="F89" i="58"/>
  <c r="H89" i="58" s="1"/>
  <c r="G89" i="58"/>
  <c r="Z38" i="2"/>
  <c r="C8" i="22"/>
  <c r="K23" i="42"/>
  <c r="J22" i="42"/>
  <c r="C81" i="22"/>
  <c r="I82" i="22" s="1"/>
  <c r="J81" i="22" s="1"/>
  <c r="D19" i="16"/>
  <c r="Q18" i="43"/>
  <c r="I18" i="43"/>
  <c r="F19" i="42"/>
  <c r="AF38" i="38"/>
  <c r="N18" i="43"/>
  <c r="C31" i="43"/>
  <c r="C28" i="43" s="1"/>
  <c r="C28" i="42"/>
  <c r="AE38" i="2"/>
  <c r="C76" i="22"/>
  <c r="C48" i="22"/>
  <c r="R36" i="43"/>
  <c r="U36" i="43" s="1"/>
  <c r="Q19" i="43"/>
  <c r="C70" i="22"/>
  <c r="C69" i="22" s="1"/>
  <c r="C42" i="22"/>
  <c r="G55" i="58"/>
  <c r="F55" i="58"/>
  <c r="H55" i="58" s="1"/>
  <c r="AK38" i="2"/>
  <c r="Q48" i="43" s="1"/>
  <c r="AD38" i="2"/>
  <c r="Q17" i="43"/>
  <c r="J31" i="42"/>
  <c r="K28" i="42"/>
  <c r="R33" i="43"/>
  <c r="U33" i="43" s="1"/>
  <c r="H26" i="26"/>
  <c r="I26" i="26" s="1"/>
  <c r="AG30" i="38"/>
  <c r="D33" i="16" s="1"/>
  <c r="C88" i="22" s="1"/>
  <c r="AG28" i="38"/>
  <c r="J18" i="42"/>
  <c r="F59" i="58"/>
  <c r="H59" i="58" s="1"/>
  <c r="G59" i="58"/>
  <c r="F64" i="58"/>
  <c r="G64" i="58"/>
  <c r="C64" i="22"/>
  <c r="C63" i="22" s="1"/>
  <c r="I64" i="22" s="1"/>
  <c r="J63" i="22" s="1"/>
  <c r="C36" i="22"/>
  <c r="S160" i="58"/>
  <c r="S83" i="58" s="1"/>
  <c r="S166" i="58"/>
  <c r="S71" i="58" s="1"/>
  <c r="AL38" i="2"/>
  <c r="AG24" i="38"/>
  <c r="S170" i="58" s="1"/>
  <c r="S86" i="58" s="1"/>
  <c r="D17" i="40"/>
  <c r="J17" i="40" s="1"/>
  <c r="U38" i="2"/>
  <c r="U48" i="43" s="1"/>
  <c r="I14" i="22"/>
  <c r="J13" i="22" s="1"/>
  <c r="G28" i="41"/>
  <c r="C37" i="22"/>
  <c r="I38" i="22" s="1"/>
  <c r="J37" i="22" s="1"/>
  <c r="N19" i="43"/>
  <c r="AJ38" i="2"/>
  <c r="C15" i="43"/>
  <c r="C10" i="43" s="1"/>
  <c r="AC38" i="2"/>
  <c r="C68" i="22"/>
  <c r="C67" i="22" s="1"/>
  <c r="I68" i="22" s="1"/>
  <c r="J67" i="22" s="1"/>
  <c r="C66" i="22"/>
  <c r="C65" i="22" s="1"/>
  <c r="C40" i="22"/>
  <c r="D27" i="16"/>
  <c r="S165" i="58"/>
  <c r="S68" i="58" s="1"/>
  <c r="X36" i="43"/>
  <c r="D26" i="40"/>
  <c r="D31" i="40"/>
  <c r="R31" i="43"/>
  <c r="I28" i="43"/>
  <c r="C93" i="22"/>
  <c r="I94" i="22" s="1"/>
  <c r="J93" i="22" s="1"/>
  <c r="AA38" i="2"/>
  <c r="N17" i="43"/>
  <c r="C23" i="42"/>
  <c r="C22" i="43"/>
  <c r="D22" i="16"/>
  <c r="J17" i="42"/>
  <c r="K15" i="42"/>
  <c r="AE16" i="38"/>
  <c r="S45" i="43"/>
  <c r="F77" i="58"/>
  <c r="H77" i="58" s="1"/>
  <c r="G77" i="58"/>
  <c r="H42" i="26"/>
  <c r="R22" i="43"/>
  <c r="Q23" i="43"/>
  <c r="R23" i="43" s="1"/>
  <c r="C17" i="22"/>
  <c r="I18" i="22" s="1"/>
  <c r="J17" i="22" s="1"/>
  <c r="F75" i="58"/>
  <c r="H75" i="58" s="1"/>
  <c r="G75" i="58"/>
  <c r="I19" i="43"/>
  <c r="C15" i="42"/>
  <c r="C10" i="42" s="1"/>
  <c r="C72" i="22"/>
  <c r="C71" i="22" s="1"/>
  <c r="I72" i="22" s="1"/>
  <c r="J71" i="22" s="1"/>
  <c r="C44" i="22"/>
  <c r="AB38" i="2"/>
  <c r="F70" i="58"/>
  <c r="G70" i="58"/>
  <c r="T45" i="43"/>
  <c r="I111" i="22"/>
  <c r="J110" i="22" s="1"/>
  <c r="I74" i="22"/>
  <c r="J73" i="22" s="1"/>
  <c r="K123" i="22"/>
  <c r="L122" i="22" s="1"/>
  <c r="C61" i="22"/>
  <c r="I62" i="22" s="1"/>
  <c r="J61" i="22" s="1"/>
  <c r="I15" i="11" l="1"/>
  <c r="E15" i="20"/>
  <c r="N15" i="20" s="1"/>
  <c r="D12" i="45"/>
  <c r="J41" i="30"/>
  <c r="I17" i="46"/>
  <c r="I16" i="46" s="1"/>
  <c r="F58" i="58"/>
  <c r="H58" i="58" s="1"/>
  <c r="D37" i="16"/>
  <c r="C96" i="22" s="1"/>
  <c r="C95" i="22" s="1"/>
  <c r="I96" i="22" s="1"/>
  <c r="J95" i="22" s="1"/>
  <c r="E26" i="40"/>
  <c r="J26" i="40" s="1"/>
  <c r="S169" i="58"/>
  <c r="S84" i="58" s="1"/>
  <c r="F84" i="58" s="1"/>
  <c r="H84" i="58" s="1"/>
  <c r="H49" i="26"/>
  <c r="I49" i="26" s="1"/>
  <c r="G52" i="40"/>
  <c r="L37" i="59" s="1"/>
  <c r="L31" i="59" s="1"/>
  <c r="F87" i="58"/>
  <c r="H87" i="58" s="1"/>
  <c r="U25" i="43"/>
  <c r="F123" i="55"/>
  <c r="N123" i="55" s="1"/>
  <c r="O123" i="55" s="1"/>
  <c r="I32" i="22"/>
  <c r="J30" i="22" s="1"/>
  <c r="E51" i="16"/>
  <c r="E7" i="16" s="1"/>
  <c r="X28" i="43"/>
  <c r="C58" i="22"/>
  <c r="I60" i="22" s="1"/>
  <c r="F122" i="55"/>
  <c r="F122" i="56" s="1"/>
  <c r="N122" i="56" s="1"/>
  <c r="F10" i="40"/>
  <c r="K37" i="59"/>
  <c r="K31" i="59" s="1"/>
  <c r="V14" i="27"/>
  <c r="C38" i="60"/>
  <c r="C38" i="59"/>
  <c r="F10" i="41"/>
  <c r="G6" i="41"/>
  <c r="D32" i="59" s="1"/>
  <c r="O32" i="59" s="1"/>
  <c r="O37" i="59"/>
  <c r="V28" i="27"/>
  <c r="V25" i="27"/>
  <c r="V29" i="27"/>
  <c r="V20" i="27"/>
  <c r="V21" i="27"/>
  <c r="V35" i="27"/>
  <c r="V34" i="27"/>
  <c r="V16" i="27"/>
  <c r="V32" i="27"/>
  <c r="V17" i="27"/>
  <c r="V27" i="27"/>
  <c r="V40" i="27"/>
  <c r="V22" i="27"/>
  <c r="V31" i="27"/>
  <c r="V37" i="27"/>
  <c r="V38" i="27"/>
  <c r="V18" i="27"/>
  <c r="V15" i="27"/>
  <c r="V13" i="27"/>
  <c r="W13" i="27" s="1"/>
  <c r="W14" i="27" s="1"/>
  <c r="V23" i="27"/>
  <c r="V19" i="27"/>
  <c r="V26" i="27"/>
  <c r="V33" i="27"/>
  <c r="V30" i="27"/>
  <c r="V24" i="27"/>
  <c r="V36" i="27"/>
  <c r="V39" i="27"/>
  <c r="K5" i="42"/>
  <c r="H50" i="26"/>
  <c r="I50" i="26" s="1"/>
  <c r="W41" i="2"/>
  <c r="Q20" i="11" s="1"/>
  <c r="S20" i="11" s="1"/>
  <c r="S21" i="11" s="1"/>
  <c r="U19" i="21"/>
  <c r="P15" i="20" s="1"/>
  <c r="Q21" i="12"/>
  <c r="Q24" i="12" s="1"/>
  <c r="F20" i="44"/>
  <c r="C120" i="22"/>
  <c r="I121" i="22" s="1"/>
  <c r="J120" i="22" s="1"/>
  <c r="C7" i="22"/>
  <c r="K23" i="22" s="1"/>
  <c r="N10" i="16"/>
  <c r="H39" i="26"/>
  <c r="I39" i="26" s="1"/>
  <c r="F7" i="16"/>
  <c r="Q144" i="55"/>
  <c r="J53" i="40"/>
  <c r="C10" i="40"/>
  <c r="E52" i="40"/>
  <c r="E37" i="60" s="1"/>
  <c r="D51" i="16"/>
  <c r="C51" i="22"/>
  <c r="G16" i="44"/>
  <c r="G15" i="44" s="1"/>
  <c r="C40" i="16"/>
  <c r="C53" i="22" s="1"/>
  <c r="F130" i="56"/>
  <c r="N130" i="56" s="1"/>
  <c r="N130" i="55"/>
  <c r="P130" i="55" s="1"/>
  <c r="F69" i="58"/>
  <c r="H69" i="58" s="1"/>
  <c r="G69" i="58"/>
  <c r="D52" i="40"/>
  <c r="D37" i="60" s="1"/>
  <c r="C51" i="16"/>
  <c r="X15" i="43"/>
  <c r="U22" i="43"/>
  <c r="E31" i="40"/>
  <c r="J31" i="40" s="1"/>
  <c r="G85" i="58"/>
  <c r="I15" i="43"/>
  <c r="I10" i="43" s="1"/>
  <c r="I46" i="43" s="1"/>
  <c r="I70" i="22"/>
  <c r="J69" i="22" s="1"/>
  <c r="C80" i="22"/>
  <c r="G72" i="58"/>
  <c r="D18" i="16"/>
  <c r="Q15" i="43"/>
  <c r="Q10" i="43" s="1"/>
  <c r="Q46" i="43" s="1"/>
  <c r="C75" i="22"/>
  <c r="D25" i="40"/>
  <c r="D33" i="60" s="1"/>
  <c r="G71" i="58"/>
  <c r="F71" i="58"/>
  <c r="H71" i="58" s="1"/>
  <c r="D31" i="16"/>
  <c r="C84" i="22" s="1"/>
  <c r="C83" i="22" s="1"/>
  <c r="S173" i="58"/>
  <c r="S81" i="58" s="1"/>
  <c r="N15" i="43"/>
  <c r="N10" i="43" s="1"/>
  <c r="N46" i="43" s="1"/>
  <c r="G68" i="58"/>
  <c r="F68" i="58"/>
  <c r="C41" i="22"/>
  <c r="I42" i="22" s="1"/>
  <c r="J41" i="22" s="1"/>
  <c r="Z45" i="43"/>
  <c r="W45" i="43"/>
  <c r="J23" i="42"/>
  <c r="R19" i="43"/>
  <c r="U19" i="43" s="1"/>
  <c r="I9" i="22"/>
  <c r="C87" i="22"/>
  <c r="I10" i="22"/>
  <c r="C39" i="22"/>
  <c r="I40" i="22" s="1"/>
  <c r="J39" i="22" s="1"/>
  <c r="AE38" i="38"/>
  <c r="AG16" i="38"/>
  <c r="R28" i="43"/>
  <c r="U28" i="43" s="1"/>
  <c r="D12" i="40"/>
  <c r="D11" i="40" s="1"/>
  <c r="D32" i="60" s="1"/>
  <c r="K32" i="60" s="1"/>
  <c r="R18" i="43"/>
  <c r="U18" i="43" s="1"/>
  <c r="F82" i="58"/>
  <c r="H82" i="58" s="1"/>
  <c r="G82" i="58"/>
  <c r="C43" i="22"/>
  <c r="I44" i="22" s="1"/>
  <c r="J43" i="22" s="1"/>
  <c r="C35" i="22"/>
  <c r="I36" i="22" s="1"/>
  <c r="J35" i="22" s="1"/>
  <c r="J15" i="42"/>
  <c r="K10" i="42"/>
  <c r="J10" i="42" s="1"/>
  <c r="U31" i="43"/>
  <c r="J28" i="42"/>
  <c r="R17" i="43"/>
  <c r="F83" i="58"/>
  <c r="H83" i="58" s="1"/>
  <c r="G83" i="58"/>
  <c r="F86" i="58"/>
  <c r="H86" i="58" s="1"/>
  <c r="G86" i="58"/>
  <c r="C47" i="22"/>
  <c r="I48" i="22" s="1"/>
  <c r="J47" i="22" s="1"/>
  <c r="I66" i="22"/>
  <c r="J65" i="22" s="1"/>
  <c r="C105" i="22" l="1"/>
  <c r="C104" i="22" s="1"/>
  <c r="I105" i="22" s="1"/>
  <c r="J104" i="22" s="1"/>
  <c r="H34" i="26"/>
  <c r="I34" i="26" s="1"/>
  <c r="E44" i="40"/>
  <c r="J44" i="40" s="1"/>
  <c r="S177" i="58"/>
  <c r="S63" i="58" s="1"/>
  <c r="F12" i="45"/>
  <c r="F142" i="55"/>
  <c r="I59" i="22"/>
  <c r="J58" i="22" s="1"/>
  <c r="G10" i="40"/>
  <c r="G84" i="58"/>
  <c r="F123" i="56"/>
  <c r="N123" i="56" s="1"/>
  <c r="P123" i="55"/>
  <c r="Q123" i="55" s="1"/>
  <c r="Z4" i="43"/>
  <c r="C57" i="22"/>
  <c r="K61" i="22" s="1"/>
  <c r="N122" i="55"/>
  <c r="F16" i="11"/>
  <c r="D17" i="45" s="1"/>
  <c r="K37" i="60"/>
  <c r="K21" i="22"/>
  <c r="K11" i="22"/>
  <c r="G26" i="22"/>
  <c r="C31" i="59"/>
  <c r="O38" i="59"/>
  <c r="X10" i="43"/>
  <c r="X48" i="43" s="1"/>
  <c r="Y4" i="43"/>
  <c r="K38" i="60"/>
  <c r="C31" i="60"/>
  <c r="W15" i="27"/>
  <c r="W16" i="27" s="1"/>
  <c r="W17" i="27" s="1"/>
  <c r="W18" i="27" s="1"/>
  <c r="W19" i="27" s="1"/>
  <c r="W20" i="27" s="1"/>
  <c r="W21" i="27" s="1"/>
  <c r="W22" i="27" s="1"/>
  <c r="W23" i="27" s="1"/>
  <c r="W24" i="27" s="1"/>
  <c r="W25" i="27" s="1"/>
  <c r="W26" i="27" s="1"/>
  <c r="W27" i="27" s="1"/>
  <c r="W28" i="27" s="1"/>
  <c r="W29" i="27" s="1"/>
  <c r="W30" i="27" s="1"/>
  <c r="W31" i="27" s="1"/>
  <c r="W32" i="27" s="1"/>
  <c r="W33" i="27" s="1"/>
  <c r="W34" i="27" s="1"/>
  <c r="W35" i="27" s="1"/>
  <c r="W36" i="27" s="1"/>
  <c r="W37" i="27" s="1"/>
  <c r="W38" i="27" s="1"/>
  <c r="W39" i="27" s="1"/>
  <c r="W40" i="27" s="1"/>
  <c r="J5" i="42"/>
  <c r="D33" i="59"/>
  <c r="K19" i="22"/>
  <c r="G18" i="22"/>
  <c r="H14" i="22"/>
  <c r="H18" i="22"/>
  <c r="K25" i="22"/>
  <c r="K27" i="22"/>
  <c r="G10" i="22"/>
  <c r="H10" i="22"/>
  <c r="G24" i="22"/>
  <c r="K17" i="22"/>
  <c r="G14" i="22"/>
  <c r="G12" i="22"/>
  <c r="H12" i="22"/>
  <c r="H16" i="22"/>
  <c r="H26" i="22"/>
  <c r="K13" i="22"/>
  <c r="G22" i="22"/>
  <c r="H9" i="22"/>
  <c r="G20" i="22"/>
  <c r="H22" i="22"/>
  <c r="G9" i="22"/>
  <c r="E45" i="40"/>
  <c r="J45" i="40" s="1"/>
  <c r="T21" i="11"/>
  <c r="F149" i="55"/>
  <c r="F128" i="55"/>
  <c r="H53" i="26"/>
  <c r="I53" i="26" s="1"/>
  <c r="N37" i="16"/>
  <c r="S182" i="58"/>
  <c r="S78" i="58" s="1"/>
  <c r="F129" i="55"/>
  <c r="D40" i="40"/>
  <c r="S181" i="58"/>
  <c r="S62" i="58" s="1"/>
  <c r="N15" i="16"/>
  <c r="F148" i="55"/>
  <c r="F127" i="55"/>
  <c r="F6" i="41"/>
  <c r="H6" i="41"/>
  <c r="N8" i="16"/>
  <c r="J52" i="40"/>
  <c r="C52" i="22"/>
  <c r="I53" i="22" s="1"/>
  <c r="J52" i="22" s="1"/>
  <c r="C119" i="22"/>
  <c r="K120" i="22"/>
  <c r="L119" i="22" s="1"/>
  <c r="J12" i="40"/>
  <c r="J11" i="40"/>
  <c r="G20" i="44"/>
  <c r="G18" i="44" s="1"/>
  <c r="C25" i="44" s="1"/>
  <c r="D34" i="59" s="1"/>
  <c r="C41" i="16"/>
  <c r="C55" i="22" s="1"/>
  <c r="C54" i="22" s="1"/>
  <c r="J8" i="22"/>
  <c r="K8" i="22" s="1"/>
  <c r="K15" i="22"/>
  <c r="H24" i="22"/>
  <c r="H20" i="22"/>
  <c r="C50" i="22"/>
  <c r="I51" i="22" s="1"/>
  <c r="J50" i="22" s="1"/>
  <c r="G16" i="22"/>
  <c r="C113" i="22"/>
  <c r="C112" i="22" s="1"/>
  <c r="F15" i="20"/>
  <c r="D16" i="45"/>
  <c r="G81" i="58"/>
  <c r="F81" i="58"/>
  <c r="H81" i="58" s="1"/>
  <c r="C29" i="22"/>
  <c r="K35" i="22" s="1"/>
  <c r="U17" i="43"/>
  <c r="R15" i="43"/>
  <c r="S167" i="58"/>
  <c r="S88" i="58" s="1"/>
  <c r="C79" i="22"/>
  <c r="D29" i="16"/>
  <c r="D28" i="16" s="1"/>
  <c r="N9" i="16" s="1"/>
  <c r="Y45" i="43"/>
  <c r="AG38" i="38"/>
  <c r="E39" i="40" s="1"/>
  <c r="E25" i="40" s="1"/>
  <c r="V45" i="43"/>
  <c r="I76" i="22"/>
  <c r="J75" i="22" s="1"/>
  <c r="P122" i="55"/>
  <c r="O122" i="55"/>
  <c r="S175" i="58"/>
  <c r="S66" i="58" s="1"/>
  <c r="F16" i="45"/>
  <c r="I88" i="22"/>
  <c r="J87" i="22" s="1"/>
  <c r="F142" i="56" l="1"/>
  <c r="N142" i="56" s="1"/>
  <c r="N142" i="55"/>
  <c r="P142" i="55" s="1"/>
  <c r="F63" i="58"/>
  <c r="G63" i="58"/>
  <c r="I16" i="11"/>
  <c r="C107" i="22" s="1"/>
  <c r="K71" i="22"/>
  <c r="K73" i="22"/>
  <c r="K69" i="22"/>
  <c r="K67" i="22"/>
  <c r="K58" i="22"/>
  <c r="K75" i="22"/>
  <c r="K65" i="22"/>
  <c r="K63" i="22"/>
  <c r="H51" i="26"/>
  <c r="I51" i="26" s="1"/>
  <c r="E33" i="59"/>
  <c r="J25" i="40"/>
  <c r="E33" i="60"/>
  <c r="J40" i="40"/>
  <c r="D34" i="60"/>
  <c r="D31" i="59"/>
  <c r="O34" i="59"/>
  <c r="G7" i="22"/>
  <c r="H7" i="22"/>
  <c r="L7" i="22"/>
  <c r="I113" i="22"/>
  <c r="J112" i="22" s="1"/>
  <c r="D10" i="40"/>
  <c r="G6" i="44"/>
  <c r="G78" i="58"/>
  <c r="F78" i="58"/>
  <c r="H78" i="58" s="1"/>
  <c r="F124" i="55"/>
  <c r="N124" i="55" s="1"/>
  <c r="F127" i="56"/>
  <c r="N127" i="56" s="1"/>
  <c r="N127" i="55"/>
  <c r="C49" i="22"/>
  <c r="K54" i="22" s="1"/>
  <c r="F148" i="56"/>
  <c r="N148" i="56" s="1"/>
  <c r="N148" i="55"/>
  <c r="F129" i="56"/>
  <c r="N129" i="56" s="1"/>
  <c r="N129" i="55"/>
  <c r="P129" i="55" s="1"/>
  <c r="K41" i="22"/>
  <c r="C38" i="16"/>
  <c r="S184" i="58"/>
  <c r="S79" i="58" s="1"/>
  <c r="F128" i="56"/>
  <c r="N128" i="56" s="1"/>
  <c r="N128" i="55"/>
  <c r="F62" i="58"/>
  <c r="H62" i="58" s="1"/>
  <c r="G62" i="58"/>
  <c r="F149" i="56"/>
  <c r="N149" i="56" s="1"/>
  <c r="N149" i="55"/>
  <c r="I15" i="20"/>
  <c r="O15" i="20"/>
  <c r="T15" i="20" s="1"/>
  <c r="D23" i="45" s="1"/>
  <c r="Q122" i="55"/>
  <c r="K47" i="22"/>
  <c r="K43" i="22"/>
  <c r="N32" i="16"/>
  <c r="H52" i="26"/>
  <c r="I52" i="26" s="1"/>
  <c r="G88" i="58"/>
  <c r="F88" i="58"/>
  <c r="H88" i="58" s="1"/>
  <c r="D45" i="16"/>
  <c r="H36" i="26" s="1"/>
  <c r="I36" i="26" s="1"/>
  <c r="K33" i="22"/>
  <c r="K37" i="22"/>
  <c r="K45" i="22"/>
  <c r="K30" i="22"/>
  <c r="F66" i="58"/>
  <c r="H66" i="58" s="1"/>
  <c r="G66" i="58"/>
  <c r="C78" i="22"/>
  <c r="I79" i="22" s="1"/>
  <c r="K39" i="22"/>
  <c r="R10" i="43"/>
  <c r="U15" i="43"/>
  <c r="U10" i="43" s="1"/>
  <c r="F17" i="45" l="1"/>
  <c r="F6" i="45" s="1"/>
  <c r="H35" i="26"/>
  <c r="I35" i="26" s="1"/>
  <c r="S178" i="58"/>
  <c r="S67" i="58" s="1"/>
  <c r="G67" i="58" s="1"/>
  <c r="I22" i="11"/>
  <c r="D44" i="16" s="1"/>
  <c r="E6" i="45" s="1"/>
  <c r="E46" i="40"/>
  <c r="J46" i="40" s="1"/>
  <c r="L57" i="22"/>
  <c r="F124" i="56"/>
  <c r="N124" i="56" s="1"/>
  <c r="K33" i="60"/>
  <c r="O33" i="59"/>
  <c r="F6" i="44"/>
  <c r="K34" i="60"/>
  <c r="D31" i="60"/>
  <c r="K52" i="22"/>
  <c r="P149" i="55"/>
  <c r="O149" i="55"/>
  <c r="N14" i="16"/>
  <c r="C7" i="16"/>
  <c r="K50" i="22"/>
  <c r="C106" i="22"/>
  <c r="I107" i="22" s="1"/>
  <c r="J106" i="22" s="1"/>
  <c r="O127" i="55"/>
  <c r="P127" i="55"/>
  <c r="T18" i="20"/>
  <c r="C118" i="22" s="1"/>
  <c r="F10" i="45"/>
  <c r="P128" i="55"/>
  <c r="O128" i="55"/>
  <c r="P148" i="55"/>
  <c r="O148" i="55"/>
  <c r="F79" i="58"/>
  <c r="G79" i="58"/>
  <c r="I18" i="20"/>
  <c r="D22" i="45"/>
  <c r="S179" i="58"/>
  <c r="S74" i="58" s="1"/>
  <c r="L29" i="22"/>
  <c r="P124" i="55"/>
  <c r="O124" i="55"/>
  <c r="C77" i="22"/>
  <c r="I80" i="22"/>
  <c r="J78" i="22" s="1"/>
  <c r="F67" i="58" l="1"/>
  <c r="H67" i="58" s="1"/>
  <c r="E42" i="40"/>
  <c r="J42" i="40" s="1"/>
  <c r="P25" i="11"/>
  <c r="I23" i="11"/>
  <c r="Q128" i="55"/>
  <c r="S180" i="58"/>
  <c r="S65" i="58" s="1"/>
  <c r="F65" i="58" s="1"/>
  <c r="F23" i="45"/>
  <c r="D47" i="16"/>
  <c r="F146" i="55" s="1"/>
  <c r="L49" i="22"/>
  <c r="Q148" i="55"/>
  <c r="N12" i="16"/>
  <c r="E50" i="40"/>
  <c r="J50" i="40" s="1"/>
  <c r="K78" i="22"/>
  <c r="Q149" i="55"/>
  <c r="Q127" i="55"/>
  <c r="H32" i="26"/>
  <c r="I32" i="26" s="1"/>
  <c r="N35" i="16"/>
  <c r="C101" i="22"/>
  <c r="Q124" i="55"/>
  <c r="F74" i="58"/>
  <c r="H74" i="58" s="1"/>
  <c r="G74" i="58"/>
  <c r="F22" i="45"/>
  <c r="D46" i="16"/>
  <c r="C116" i="22"/>
  <c r="C115" i="22" s="1"/>
  <c r="I116" i="22" s="1"/>
  <c r="J115" i="22" s="1"/>
  <c r="C117" i="22"/>
  <c r="I118" i="22" s="1"/>
  <c r="J117" i="22" s="1"/>
  <c r="K89" i="22"/>
  <c r="K81" i="22"/>
  <c r="K93" i="22"/>
  <c r="K91" i="22"/>
  <c r="K85" i="22"/>
  <c r="K83" i="22"/>
  <c r="K95" i="22"/>
  <c r="K87" i="22"/>
  <c r="H38" i="26" l="1"/>
  <c r="I38" i="26" s="1"/>
  <c r="F21" i="45"/>
  <c r="E35" i="59" s="1"/>
  <c r="O35" i="59" s="1"/>
  <c r="H55" i="26"/>
  <c r="I55" i="26" s="1"/>
  <c r="I58" i="26" s="1"/>
  <c r="N13" i="16"/>
  <c r="G65" i="58"/>
  <c r="S93" i="58"/>
  <c r="T65" i="58" s="1"/>
  <c r="F125" i="55"/>
  <c r="F125" i="56" s="1"/>
  <c r="N125" i="56" s="1"/>
  <c r="E41" i="40"/>
  <c r="K110" i="22"/>
  <c r="K102" i="22"/>
  <c r="K104" i="22"/>
  <c r="K108" i="22"/>
  <c r="K112" i="22"/>
  <c r="K106" i="22"/>
  <c r="F126" i="55"/>
  <c r="H37" i="26"/>
  <c r="I37" i="26" s="1"/>
  <c r="D43" i="16"/>
  <c r="D7" i="16" s="1"/>
  <c r="L77" i="22"/>
  <c r="F146" i="56"/>
  <c r="N146" i="56" s="1"/>
  <c r="N146" i="55"/>
  <c r="C114" i="22"/>
  <c r="K117" i="22" s="1"/>
  <c r="H56" i="26"/>
  <c r="I56" i="26" s="1"/>
  <c r="H58" i="26"/>
  <c r="H65" i="58"/>
  <c r="H93" i="58" s="1"/>
  <c r="F93" i="58"/>
  <c r="C10" i="57" l="1"/>
  <c r="E31" i="59"/>
  <c r="O31" i="59" s="1"/>
  <c r="C5" i="57"/>
  <c r="C8" i="57" s="1"/>
  <c r="N125" i="55"/>
  <c r="O125" i="55" s="1"/>
  <c r="N36" i="16"/>
  <c r="N5" i="16"/>
  <c r="N25" i="16" s="1"/>
  <c r="T85" i="58"/>
  <c r="T47" i="58"/>
  <c r="T14" i="58"/>
  <c r="T27" i="58"/>
  <c r="T80" i="58"/>
  <c r="T30" i="58"/>
  <c r="T67" i="58"/>
  <c r="T79" i="58"/>
  <c r="T58" i="58"/>
  <c r="T76" i="58"/>
  <c r="T37" i="58"/>
  <c r="T35" i="58"/>
  <c r="T44" i="58"/>
  <c r="T78" i="58"/>
  <c r="T48" i="58"/>
  <c r="T41" i="58"/>
  <c r="T18" i="58"/>
  <c r="T83" i="58"/>
  <c r="T20" i="58"/>
  <c r="T28" i="58"/>
  <c r="T64" i="58"/>
  <c r="T73" i="58"/>
  <c r="T13" i="58"/>
  <c r="T21" i="58"/>
  <c r="T43" i="58"/>
  <c r="T63" i="58"/>
  <c r="T29" i="58"/>
  <c r="T51" i="58"/>
  <c r="T81" i="58"/>
  <c r="T36" i="58"/>
  <c r="T19" i="58"/>
  <c r="T17" i="58"/>
  <c r="T33" i="58"/>
  <c r="T25" i="58"/>
  <c r="T90" i="58"/>
  <c r="T75" i="58"/>
  <c r="T54" i="58"/>
  <c r="T77" i="58"/>
  <c r="T87" i="58"/>
  <c r="T15" i="58"/>
  <c r="T22" i="58"/>
  <c r="T24" i="58"/>
  <c r="T61" i="58"/>
  <c r="T50" i="58"/>
  <c r="T56" i="58"/>
  <c r="T46" i="58"/>
  <c r="T53" i="58"/>
  <c r="T34" i="58"/>
  <c r="T68" i="58"/>
  <c r="T62" i="58"/>
  <c r="T66" i="58"/>
  <c r="T23" i="58"/>
  <c r="T16" i="58"/>
  <c r="T40" i="58"/>
  <c r="T38" i="58"/>
  <c r="T69" i="58"/>
  <c r="T91" i="58"/>
  <c r="T31" i="58"/>
  <c r="T45" i="58"/>
  <c r="T71" i="58"/>
  <c r="T26" i="58"/>
  <c r="T74" i="58"/>
  <c r="T60" i="58"/>
  <c r="T32" i="58"/>
  <c r="T89" i="58"/>
  <c r="T12" i="58"/>
  <c r="T55" i="58"/>
  <c r="T82" i="58"/>
  <c r="T57" i="58"/>
  <c r="T59" i="58"/>
  <c r="T70" i="58"/>
  <c r="T49" i="58"/>
  <c r="T42" i="58"/>
  <c r="T72" i="58"/>
  <c r="T86" i="58"/>
  <c r="T52" i="58"/>
  <c r="T88" i="58"/>
  <c r="T39" i="58"/>
  <c r="T84" i="58"/>
  <c r="F200" i="55"/>
  <c r="L125" i="55" s="1"/>
  <c r="M125" i="56" s="1"/>
  <c r="J41" i="40"/>
  <c r="E35" i="60"/>
  <c r="E10" i="40"/>
  <c r="J10" i="40" s="1"/>
  <c r="G93" i="58"/>
  <c r="L101" i="22"/>
  <c r="F126" i="56"/>
  <c r="N126" i="56" s="1"/>
  <c r="N126" i="55"/>
  <c r="J65" i="58"/>
  <c r="J14" i="58"/>
  <c r="J34" i="58"/>
  <c r="J73" i="58"/>
  <c r="J51" i="58"/>
  <c r="J48" i="58"/>
  <c r="J67" i="58"/>
  <c r="J56" i="58"/>
  <c r="J47" i="58"/>
  <c r="J91" i="58"/>
  <c r="J50" i="58"/>
  <c r="J39" i="58"/>
  <c r="J75" i="58"/>
  <c r="J43" i="58"/>
  <c r="J90" i="58"/>
  <c r="J54" i="58"/>
  <c r="J22" i="58"/>
  <c r="J83" i="58"/>
  <c r="J16" i="58"/>
  <c r="J36" i="58"/>
  <c r="J38" i="58"/>
  <c r="J88" i="58"/>
  <c r="J37" i="58"/>
  <c r="J62" i="58"/>
  <c r="J59" i="58"/>
  <c r="J84" i="58"/>
  <c r="J44" i="58"/>
  <c r="J18" i="58"/>
  <c r="J69" i="58"/>
  <c r="J66" i="58"/>
  <c r="J57" i="58"/>
  <c r="J55" i="58"/>
  <c r="J27" i="58"/>
  <c r="J87" i="58"/>
  <c r="J85" i="58"/>
  <c r="J23" i="58"/>
  <c r="J17" i="58"/>
  <c r="J89" i="58"/>
  <c r="J49" i="58"/>
  <c r="J26" i="58"/>
  <c r="J82" i="58"/>
  <c r="J81" i="58"/>
  <c r="J60" i="58"/>
  <c r="J74" i="58"/>
  <c r="J46" i="58"/>
  <c r="J35" i="58"/>
  <c r="J77" i="58"/>
  <c r="J32" i="58"/>
  <c r="J33" i="58"/>
  <c r="J41" i="58"/>
  <c r="J45" i="58"/>
  <c r="J52" i="58"/>
  <c r="J25" i="58"/>
  <c r="J21" i="58"/>
  <c r="J15" i="58"/>
  <c r="J24" i="58"/>
  <c r="J76" i="58"/>
  <c r="J20" i="58"/>
  <c r="J28" i="58"/>
  <c r="J80" i="58"/>
  <c r="J30" i="58"/>
  <c r="J19" i="58"/>
  <c r="K19" i="58" s="1"/>
  <c r="J71" i="58"/>
  <c r="J42" i="58"/>
  <c r="J31" i="58"/>
  <c r="J58" i="58"/>
  <c r="J40" i="58"/>
  <c r="J78" i="58"/>
  <c r="J13" i="58"/>
  <c r="J12" i="58"/>
  <c r="J53" i="58"/>
  <c r="J29" i="58"/>
  <c r="J86" i="58"/>
  <c r="P125" i="55"/>
  <c r="K115" i="22"/>
  <c r="C100" i="22"/>
  <c r="O146" i="55"/>
  <c r="P146" i="55"/>
  <c r="J55" i="26"/>
  <c r="J49" i="26"/>
  <c r="J51" i="26"/>
  <c r="J53" i="26"/>
  <c r="J50" i="26"/>
  <c r="J54" i="26"/>
  <c r="J52" i="26"/>
  <c r="J56" i="26"/>
  <c r="N19" i="16" l="1"/>
  <c r="N33" i="16"/>
  <c r="O33" i="16" s="1"/>
  <c r="O36" i="16"/>
  <c r="N24" i="16"/>
  <c r="N21" i="16"/>
  <c r="O32" i="16"/>
  <c r="N28" i="16"/>
  <c r="N23" i="16"/>
  <c r="N26" i="16"/>
  <c r="O25" i="16" s="1"/>
  <c r="O35" i="16"/>
  <c r="N27" i="16"/>
  <c r="N20" i="16"/>
  <c r="N22" i="16"/>
  <c r="O37" i="16"/>
  <c r="C5" i="22"/>
  <c r="O109" i="22" s="1"/>
  <c r="L161" i="55"/>
  <c r="M161" i="56" s="1"/>
  <c r="M148" i="55"/>
  <c r="L152" i="55"/>
  <c r="M152" i="56" s="1"/>
  <c r="L185" i="55"/>
  <c r="M185" i="56" s="1"/>
  <c r="M115" i="55"/>
  <c r="M42" i="55"/>
  <c r="M31" i="55"/>
  <c r="O31" i="55" s="1"/>
  <c r="Q31" i="55" s="1"/>
  <c r="M72" i="55"/>
  <c r="M114" i="55"/>
  <c r="M55" i="55"/>
  <c r="M17" i="55"/>
  <c r="O17" i="55" s="1"/>
  <c r="Q17" i="55" s="1"/>
  <c r="M34" i="55"/>
  <c r="O34" i="55" s="1"/>
  <c r="Q34" i="55" s="1"/>
  <c r="M10" i="55"/>
  <c r="O10" i="55" s="1"/>
  <c r="Q10" i="55" s="1"/>
  <c r="M106" i="55"/>
  <c r="O106" i="55" s="1"/>
  <c r="Q106" i="55" s="1"/>
  <c r="M103" i="55"/>
  <c r="L176" i="55"/>
  <c r="M176" i="56" s="1"/>
  <c r="M77" i="55"/>
  <c r="O77" i="55" s="1"/>
  <c r="Q77" i="55" s="1"/>
  <c r="L24" i="55"/>
  <c r="M24" i="56" s="1"/>
  <c r="M191" i="55"/>
  <c r="O191" i="55" s="1"/>
  <c r="Q191" i="55" s="1"/>
  <c r="M192" i="55"/>
  <c r="O192" i="55" s="1"/>
  <c r="Q192" i="55" s="1"/>
  <c r="L147" i="55"/>
  <c r="M147" i="56" s="1"/>
  <c r="M171" i="55"/>
  <c r="O171" i="55" s="1"/>
  <c r="Q171" i="55" s="1"/>
  <c r="L40" i="55"/>
  <c r="M40" i="56" s="1"/>
  <c r="L179" i="55"/>
  <c r="M179" i="56" s="1"/>
  <c r="M135" i="55"/>
  <c r="M81" i="55"/>
  <c r="O81" i="55" s="1"/>
  <c r="Q81" i="55" s="1"/>
  <c r="M51" i="55"/>
  <c r="O51" i="55" s="1"/>
  <c r="Q51" i="55" s="1"/>
  <c r="L132" i="55"/>
  <c r="M132" i="56" s="1"/>
  <c r="M127" i="55"/>
  <c r="L181" i="55"/>
  <c r="M181" i="56" s="1"/>
  <c r="L57" i="55"/>
  <c r="M57" i="56" s="1"/>
  <c r="W70" i="58"/>
  <c r="M49" i="55"/>
  <c r="L30" i="55"/>
  <c r="M30" i="56" s="1"/>
  <c r="L92" i="55"/>
  <c r="M92" i="56" s="1"/>
  <c r="M107" i="55"/>
  <c r="M140" i="55"/>
  <c r="L187" i="55"/>
  <c r="M187" i="56" s="1"/>
  <c r="L111" i="55"/>
  <c r="M111" i="56" s="1"/>
  <c r="M15" i="55"/>
  <c r="M194" i="55"/>
  <c r="O194" i="55" s="1"/>
  <c r="Q194" i="55" s="1"/>
  <c r="L67" i="55"/>
  <c r="M67" i="56" s="1"/>
  <c r="M20" i="55"/>
  <c r="M157" i="55"/>
  <c r="O157" i="55" s="1"/>
  <c r="Q157" i="55" s="1"/>
  <c r="L28" i="55"/>
  <c r="M28" i="56" s="1"/>
  <c r="L142" i="55"/>
  <c r="M142" i="56" s="1"/>
  <c r="M14" i="55"/>
  <c r="O14" i="55" s="1"/>
  <c r="Q14" i="55" s="1"/>
  <c r="L100" i="55"/>
  <c r="M100" i="56" s="1"/>
  <c r="M58" i="55"/>
  <c r="L34" i="55"/>
  <c r="M34" i="56" s="1"/>
  <c r="L70" i="55"/>
  <c r="M70" i="56" s="1"/>
  <c r="M119" i="55"/>
  <c r="M138" i="55"/>
  <c r="M22" i="55"/>
  <c r="M169" i="55"/>
  <c r="O169" i="55" s="1"/>
  <c r="Q169" i="55" s="1"/>
  <c r="M141" i="55"/>
  <c r="M178" i="55"/>
  <c r="O178" i="55" s="1"/>
  <c r="Q178" i="55" s="1"/>
  <c r="M56" i="55"/>
  <c r="L51" i="55"/>
  <c r="M51" i="56" s="1"/>
  <c r="M75" i="55"/>
  <c r="O75" i="55" s="1"/>
  <c r="Q75" i="55" s="1"/>
  <c r="L85" i="55"/>
  <c r="M85" i="56" s="1"/>
  <c r="M181" i="55"/>
  <c r="O181" i="55" s="1"/>
  <c r="Q181" i="55" s="1"/>
  <c r="M73" i="55"/>
  <c r="M6" i="55"/>
  <c r="L199" i="55"/>
  <c r="M199" i="56" s="1"/>
  <c r="L105" i="55"/>
  <c r="M105" i="56" s="1"/>
  <c r="L183" i="55"/>
  <c r="M183" i="56" s="1"/>
  <c r="L7" i="55"/>
  <c r="M7" i="56" s="1"/>
  <c r="W74" i="58"/>
  <c r="W59" i="58"/>
  <c r="W82" i="58"/>
  <c r="W73" i="58"/>
  <c r="W64" i="58"/>
  <c r="W60" i="58"/>
  <c r="W72" i="58"/>
  <c r="W65" i="58"/>
  <c r="W61" i="58"/>
  <c r="W80" i="58"/>
  <c r="W76" i="58"/>
  <c r="M82" i="55"/>
  <c r="M18" i="55"/>
  <c r="O18" i="55" s="1"/>
  <c r="Q18" i="55" s="1"/>
  <c r="L117" i="55"/>
  <c r="M117" i="56" s="1"/>
  <c r="L146" i="55"/>
  <c r="M146" i="56" s="1"/>
  <c r="L188" i="55"/>
  <c r="M188" i="56" s="1"/>
  <c r="L177" i="55"/>
  <c r="M177" i="56" s="1"/>
  <c r="L107" i="55"/>
  <c r="M107" i="56" s="1"/>
  <c r="L29" i="55"/>
  <c r="M29" i="56" s="1"/>
  <c r="L46" i="55"/>
  <c r="M46" i="56" s="1"/>
  <c r="L93" i="55"/>
  <c r="M93" i="56" s="1"/>
  <c r="M91" i="55"/>
  <c r="O91" i="55" s="1"/>
  <c r="Q91" i="55" s="1"/>
  <c r="W81" i="58"/>
  <c r="M121" i="55"/>
  <c r="L10" i="55"/>
  <c r="M10" i="56" s="1"/>
  <c r="L133" i="55"/>
  <c r="M133" i="56" s="1"/>
  <c r="M16" i="55"/>
  <c r="O16" i="55" s="1"/>
  <c r="Q16" i="55" s="1"/>
  <c r="M177" i="55"/>
  <c r="O177" i="55" s="1"/>
  <c r="Q177" i="55" s="1"/>
  <c r="L56" i="55"/>
  <c r="M56" i="56" s="1"/>
  <c r="L113" i="55"/>
  <c r="M113" i="56" s="1"/>
  <c r="M79" i="55"/>
  <c r="W87" i="58"/>
  <c r="W63" i="58"/>
  <c r="W69" i="58"/>
  <c r="L18" i="55"/>
  <c r="M18" i="56" s="1"/>
  <c r="L27" i="55"/>
  <c r="M27" i="56" s="1"/>
  <c r="L149" i="55"/>
  <c r="M149" i="56" s="1"/>
  <c r="W57" i="58"/>
  <c r="W77" i="58"/>
  <c r="M124" i="55"/>
  <c r="M152" i="55"/>
  <c r="L89" i="55"/>
  <c r="M89" i="56" s="1"/>
  <c r="M144" i="55"/>
  <c r="M94" i="55"/>
  <c r="L94" i="55"/>
  <c r="M94" i="56" s="1"/>
  <c r="L115" i="55"/>
  <c r="M115" i="56" s="1"/>
  <c r="L11" i="55"/>
  <c r="M11" i="56" s="1"/>
  <c r="M122" i="55"/>
  <c r="W55" i="58"/>
  <c r="W89" i="58"/>
  <c r="M110" i="55"/>
  <c r="O110" i="55" s="1"/>
  <c r="Q110" i="55" s="1"/>
  <c r="M155" i="55"/>
  <c r="L68" i="55"/>
  <c r="M68" i="56" s="1"/>
  <c r="L109" i="55"/>
  <c r="M109" i="56" s="1"/>
  <c r="M174" i="55"/>
  <c r="O174" i="55" s="1"/>
  <c r="Q174" i="55" s="1"/>
  <c r="M137" i="55"/>
  <c r="L31" i="55"/>
  <c r="M31" i="56" s="1"/>
  <c r="M158" i="55"/>
  <c r="O158" i="55" s="1"/>
  <c r="Q158" i="55" s="1"/>
  <c r="M125" i="55"/>
  <c r="L21" i="55"/>
  <c r="M21" i="56" s="1"/>
  <c r="L119" i="55"/>
  <c r="M119" i="56" s="1"/>
  <c r="M62" i="55"/>
  <c r="L41" i="55"/>
  <c r="M41" i="56" s="1"/>
  <c r="M36" i="55"/>
  <c r="O36" i="55" s="1"/>
  <c r="Q36" i="55" s="1"/>
  <c r="M187" i="55"/>
  <c r="O187" i="55" s="1"/>
  <c r="Q187" i="55" s="1"/>
  <c r="L136" i="55"/>
  <c r="M136" i="56" s="1"/>
  <c r="L75" i="55"/>
  <c r="M75" i="56" s="1"/>
  <c r="W88" i="58"/>
  <c r="M146" i="55"/>
  <c r="W90" i="58"/>
  <c r="M199" i="55"/>
  <c r="O199" i="55" s="1"/>
  <c r="Q199" i="55" s="1"/>
  <c r="L128" i="55"/>
  <c r="M128" i="56" s="1"/>
  <c r="L184" i="55"/>
  <c r="M184" i="56" s="1"/>
  <c r="L138" i="55"/>
  <c r="M138" i="56" s="1"/>
  <c r="M182" i="55"/>
  <c r="O182" i="55" s="1"/>
  <c r="Q182" i="55" s="1"/>
  <c r="M179" i="55"/>
  <c r="O179" i="55" s="1"/>
  <c r="Q179" i="55" s="1"/>
  <c r="M130" i="55"/>
  <c r="O130" i="55" s="1"/>
  <c r="Q130" i="55" s="1"/>
  <c r="M66" i="55"/>
  <c r="O66" i="55" s="1"/>
  <c r="Q66" i="55" s="1"/>
  <c r="M154" i="55"/>
  <c r="O154" i="55" s="1"/>
  <c r="Q154" i="55" s="1"/>
  <c r="L141" i="55"/>
  <c r="M141" i="56" s="1"/>
  <c r="M27" i="55"/>
  <c r="O27" i="55" s="1"/>
  <c r="Q27" i="55" s="1"/>
  <c r="M7" i="55"/>
  <c r="O7" i="55" s="1"/>
  <c r="Q7" i="55" s="1"/>
  <c r="M32" i="55"/>
  <c r="O32" i="55" s="1"/>
  <c r="Q32" i="55" s="1"/>
  <c r="L96" i="55"/>
  <c r="M96" i="56" s="1"/>
  <c r="M183" i="55"/>
  <c r="O183" i="55" s="1"/>
  <c r="Q183" i="55" s="1"/>
  <c r="M29" i="55"/>
  <c r="M133" i="55"/>
  <c r="L169" i="55"/>
  <c r="M169" i="56" s="1"/>
  <c r="W78" i="58"/>
  <c r="L15" i="55"/>
  <c r="M15" i="56" s="1"/>
  <c r="M88" i="55"/>
  <c r="L157" i="55"/>
  <c r="M157" i="56" s="1"/>
  <c r="L191" i="55"/>
  <c r="M191" i="56" s="1"/>
  <c r="M63" i="55"/>
  <c r="M65" i="55"/>
  <c r="L64" i="55"/>
  <c r="M64" i="56" s="1"/>
  <c r="M48" i="55"/>
  <c r="M13" i="55"/>
  <c r="O13" i="55" s="1"/>
  <c r="Q13" i="55" s="1"/>
  <c r="M134" i="55"/>
  <c r="L38" i="55"/>
  <c r="M38" i="56" s="1"/>
  <c r="M111" i="55"/>
  <c r="O111" i="55" s="1"/>
  <c r="Q111" i="55" s="1"/>
  <c r="L186" i="55"/>
  <c r="M186" i="56" s="1"/>
  <c r="L196" i="55"/>
  <c r="M196" i="56" s="1"/>
  <c r="L97" i="55"/>
  <c r="M97" i="56" s="1"/>
  <c r="L23" i="55"/>
  <c r="M23" i="56" s="1"/>
  <c r="M123" i="55"/>
  <c r="M108" i="55"/>
  <c r="O108" i="55" s="1"/>
  <c r="Q108" i="55" s="1"/>
  <c r="W86" i="58"/>
  <c r="W66" i="58"/>
  <c r="W71" i="58"/>
  <c r="W83" i="58"/>
  <c r="W62" i="58"/>
  <c r="W75" i="58"/>
  <c r="W85" i="58"/>
  <c r="W68" i="58"/>
  <c r="T93" i="58"/>
  <c r="U52" i="58" s="1"/>
  <c r="W67" i="58"/>
  <c r="L156" i="55"/>
  <c r="M156" i="56" s="1"/>
  <c r="L167" i="55"/>
  <c r="M167" i="56" s="1"/>
  <c r="M186" i="55"/>
  <c r="O186" i="55" s="1"/>
  <c r="Q186" i="55" s="1"/>
  <c r="M99" i="55"/>
  <c r="O99" i="55" s="1"/>
  <c r="Q99" i="55" s="1"/>
  <c r="L54" i="55"/>
  <c r="M54" i="56" s="1"/>
  <c r="L86" i="55"/>
  <c r="M86" i="56" s="1"/>
  <c r="M26" i="55"/>
  <c r="O26" i="55" s="1"/>
  <c r="Q26" i="55" s="1"/>
  <c r="M86" i="55"/>
  <c r="O86" i="55" s="1"/>
  <c r="Q86" i="55" s="1"/>
  <c r="W84" i="58"/>
  <c r="M175" i="55"/>
  <c r="O175" i="55" s="1"/>
  <c r="Q175" i="55" s="1"/>
  <c r="L163" i="55"/>
  <c r="M163" i="56" s="1"/>
  <c r="L194" i="55"/>
  <c r="M194" i="56" s="1"/>
  <c r="L129" i="55"/>
  <c r="M129" i="56" s="1"/>
  <c r="L122" i="55"/>
  <c r="M122" i="56" s="1"/>
  <c r="L140" i="55"/>
  <c r="M140" i="56" s="1"/>
  <c r="M126" i="55"/>
  <c r="L178" i="55"/>
  <c r="M178" i="56" s="1"/>
  <c r="L4" i="55"/>
  <c r="M4" i="56" s="1"/>
  <c r="M19" i="55"/>
  <c r="O19" i="55" s="1"/>
  <c r="Q19" i="55" s="1"/>
  <c r="W58" i="58"/>
  <c r="W79" i="58"/>
  <c r="M136" i="55"/>
  <c r="M198" i="55"/>
  <c r="O198" i="55" s="1"/>
  <c r="Q198" i="55" s="1"/>
  <c r="M67" i="55"/>
  <c r="O67" i="55" s="1"/>
  <c r="Q67" i="55" s="1"/>
  <c r="M166" i="55"/>
  <c r="O166" i="55" s="1"/>
  <c r="Q166" i="55" s="1"/>
  <c r="L193" i="55"/>
  <c r="M193" i="56" s="1"/>
  <c r="M189" i="55"/>
  <c r="O189" i="55" s="1"/>
  <c r="Q189" i="55" s="1"/>
  <c r="L71" i="55"/>
  <c r="M71" i="56" s="1"/>
  <c r="L137" i="55"/>
  <c r="M137" i="56" s="1"/>
  <c r="M170" i="55"/>
  <c r="O170" i="55" s="1"/>
  <c r="Q170" i="55" s="1"/>
  <c r="M162" i="55"/>
  <c r="O162" i="55" s="1"/>
  <c r="Q162" i="55" s="1"/>
  <c r="L52" i="55"/>
  <c r="M52" i="56" s="1"/>
  <c r="M165" i="55"/>
  <c r="O165" i="55" s="1"/>
  <c r="Q165" i="55" s="1"/>
  <c r="L126" i="55"/>
  <c r="M126" i="56" s="1"/>
  <c r="L63" i="55"/>
  <c r="M63" i="56" s="1"/>
  <c r="M78" i="55"/>
  <c r="O78" i="55" s="1"/>
  <c r="Q78" i="55" s="1"/>
  <c r="L104" i="55"/>
  <c r="M104" i="56" s="1"/>
  <c r="L82" i="55"/>
  <c r="M82" i="56" s="1"/>
  <c r="L12" i="55"/>
  <c r="M12" i="56" s="1"/>
  <c r="L164" i="55"/>
  <c r="M164" i="56" s="1"/>
  <c r="M69" i="55"/>
  <c r="O69" i="55" s="1"/>
  <c r="Q69" i="55" s="1"/>
  <c r="M151" i="55"/>
  <c r="M37" i="55"/>
  <c r="O37" i="55" s="1"/>
  <c r="Q37" i="55" s="1"/>
  <c r="M184" i="55"/>
  <c r="O184" i="55" s="1"/>
  <c r="Q184" i="55" s="1"/>
  <c r="L5" i="55"/>
  <c r="M5" i="56" s="1"/>
  <c r="M102" i="55"/>
  <c r="M188" i="55"/>
  <c r="O188" i="55" s="1"/>
  <c r="Q188" i="55" s="1"/>
  <c r="M129" i="55"/>
  <c r="O129" i="55" s="1"/>
  <c r="Q129" i="55" s="1"/>
  <c r="L173" i="55"/>
  <c r="M173" i="56" s="1"/>
  <c r="L154" i="55"/>
  <c r="M154" i="56" s="1"/>
  <c r="L25" i="55"/>
  <c r="M25" i="56" s="1"/>
  <c r="L106" i="55"/>
  <c r="M106" i="56" s="1"/>
  <c r="M23" i="55"/>
  <c r="L72" i="55"/>
  <c r="M72" i="56" s="1"/>
  <c r="M90" i="55"/>
  <c r="M54" i="55"/>
  <c r="M97" i="55"/>
  <c r="L114" i="55"/>
  <c r="M114" i="56" s="1"/>
  <c r="L123" i="55"/>
  <c r="M123" i="56" s="1"/>
  <c r="M52" i="55"/>
  <c r="O52" i="55" s="1"/>
  <c r="Q52" i="55" s="1"/>
  <c r="M109" i="55"/>
  <c r="O109" i="55" s="1"/>
  <c r="Q109" i="55" s="1"/>
  <c r="M87" i="55"/>
  <c r="O87" i="55" s="1"/>
  <c r="Q87" i="55" s="1"/>
  <c r="M131" i="55"/>
  <c r="L160" i="55"/>
  <c r="M160" i="56" s="1"/>
  <c r="L171" i="55"/>
  <c r="M171" i="56" s="1"/>
  <c r="L49" i="55"/>
  <c r="M49" i="56" s="1"/>
  <c r="L131" i="55"/>
  <c r="M131" i="56" s="1"/>
  <c r="W56" i="58"/>
  <c r="M116" i="55"/>
  <c r="L116" i="55"/>
  <c r="M116" i="56" s="1"/>
  <c r="L118" i="55"/>
  <c r="M118" i="56" s="1"/>
  <c r="L144" i="55"/>
  <c r="M144" i="56" s="1"/>
  <c r="L145" i="55"/>
  <c r="M145" i="56" s="1"/>
  <c r="M9" i="55"/>
  <c r="O9" i="55" s="1"/>
  <c r="Q9" i="55" s="1"/>
  <c r="L101" i="55"/>
  <c r="M101" i="56" s="1"/>
  <c r="L165" i="55"/>
  <c r="M165" i="56" s="1"/>
  <c r="M39" i="55"/>
  <c r="O39" i="55" s="1"/>
  <c r="Q39" i="55" s="1"/>
  <c r="L35" i="55"/>
  <c r="M35" i="56" s="1"/>
  <c r="L102" i="55"/>
  <c r="M102" i="56" s="1"/>
  <c r="M40" i="55"/>
  <c r="L55" i="55"/>
  <c r="M55" i="56" s="1"/>
  <c r="M41" i="55"/>
  <c r="L47" i="55"/>
  <c r="M47" i="56" s="1"/>
  <c r="M92" i="55"/>
  <c r="O92" i="55" s="1"/>
  <c r="Q92" i="55" s="1"/>
  <c r="M196" i="55"/>
  <c r="O196" i="55" s="1"/>
  <c r="Q196" i="55" s="1"/>
  <c r="M153" i="55"/>
  <c r="M74" i="55"/>
  <c r="M105" i="55"/>
  <c r="L148" i="55"/>
  <c r="M148" i="56" s="1"/>
  <c r="M44" i="55"/>
  <c r="L84" i="55"/>
  <c r="M84" i="56" s="1"/>
  <c r="L39" i="55"/>
  <c r="M39" i="56" s="1"/>
  <c r="M120" i="55"/>
  <c r="M24" i="55"/>
  <c r="O24" i="55" s="1"/>
  <c r="Q24" i="55" s="1"/>
  <c r="L174" i="55"/>
  <c r="M174" i="56" s="1"/>
  <c r="L155" i="55"/>
  <c r="M155" i="56" s="1"/>
  <c r="L98" i="55"/>
  <c r="M98" i="56" s="1"/>
  <c r="M104" i="55"/>
  <c r="O104" i="55" s="1"/>
  <c r="Q104" i="55" s="1"/>
  <c r="L110" i="55"/>
  <c r="M110" i="56" s="1"/>
  <c r="M47" i="55"/>
  <c r="L197" i="55"/>
  <c r="M197" i="56" s="1"/>
  <c r="L91" i="55"/>
  <c r="M91" i="56" s="1"/>
  <c r="L77" i="55"/>
  <c r="M77" i="56" s="1"/>
  <c r="M8" i="55"/>
  <c r="O8" i="55" s="1"/>
  <c r="Q8" i="55" s="1"/>
  <c r="L99" i="55"/>
  <c r="M99" i="56" s="1"/>
  <c r="L192" i="55"/>
  <c r="M192" i="56" s="1"/>
  <c r="M25" i="55"/>
  <c r="O25" i="55" s="1"/>
  <c r="Q25" i="55" s="1"/>
  <c r="L166" i="55"/>
  <c r="M166" i="56" s="1"/>
  <c r="M195" i="55"/>
  <c r="O195" i="55" s="1"/>
  <c r="Q195" i="55" s="1"/>
  <c r="M101" i="55"/>
  <c r="L143" i="55"/>
  <c r="M143" i="56" s="1"/>
  <c r="M98" i="55"/>
  <c r="O98" i="55" s="1"/>
  <c r="Q98" i="55" s="1"/>
  <c r="L153" i="55"/>
  <c r="M153" i="56" s="1"/>
  <c r="M193" i="55"/>
  <c r="O193" i="55" s="1"/>
  <c r="Q193" i="55" s="1"/>
  <c r="L73" i="55"/>
  <c r="M73" i="56" s="1"/>
  <c r="L195" i="55"/>
  <c r="M195" i="56" s="1"/>
  <c r="L48" i="55"/>
  <c r="M48" i="56" s="1"/>
  <c r="L59" i="55"/>
  <c r="M59" i="56" s="1"/>
  <c r="L16" i="55"/>
  <c r="M16" i="56" s="1"/>
  <c r="M59" i="55"/>
  <c r="O59" i="55" s="1"/>
  <c r="Q59" i="55" s="1"/>
  <c r="M33" i="55"/>
  <c r="O33" i="55" s="1"/>
  <c r="Q33" i="55" s="1"/>
  <c r="M76" i="55"/>
  <c r="O76" i="55" s="1"/>
  <c r="Q76" i="55" s="1"/>
  <c r="M35" i="55"/>
  <c r="O35" i="55" s="1"/>
  <c r="Q35" i="55" s="1"/>
  <c r="L121" i="55"/>
  <c r="M121" i="56" s="1"/>
  <c r="L33" i="55"/>
  <c r="M33" i="56" s="1"/>
  <c r="L158" i="55"/>
  <c r="M158" i="56" s="1"/>
  <c r="L135" i="55"/>
  <c r="M135" i="56" s="1"/>
  <c r="L22" i="55"/>
  <c r="M22" i="56" s="1"/>
  <c r="L83" i="55"/>
  <c r="M83" i="56" s="1"/>
  <c r="M45" i="55"/>
  <c r="M4" i="55"/>
  <c r="O4" i="55" s="1"/>
  <c r="Q4" i="55" s="1"/>
  <c r="M113" i="55"/>
  <c r="L43" i="55"/>
  <c r="M43" i="56" s="1"/>
  <c r="L37" i="55"/>
  <c r="M37" i="56" s="1"/>
  <c r="M95" i="55"/>
  <c r="L90" i="55"/>
  <c r="M90" i="56" s="1"/>
  <c r="L61" i="55"/>
  <c r="M61" i="56" s="1"/>
  <c r="L76" i="55"/>
  <c r="M76" i="56" s="1"/>
  <c r="L44" i="55"/>
  <c r="M44" i="56" s="1"/>
  <c r="M159" i="55"/>
  <c r="O159" i="55" s="1"/>
  <c r="Q159" i="55" s="1"/>
  <c r="L60" i="55"/>
  <c r="M60" i="56" s="1"/>
  <c r="L168" i="55"/>
  <c r="M168" i="56" s="1"/>
  <c r="M132" i="55"/>
  <c r="M150" i="55"/>
  <c r="M176" i="55"/>
  <c r="O176" i="55" s="1"/>
  <c r="Q176" i="55" s="1"/>
  <c r="L127" i="55"/>
  <c r="M127" i="56" s="1"/>
  <c r="M168" i="55"/>
  <c r="O168" i="55" s="1"/>
  <c r="Q168" i="55" s="1"/>
  <c r="L130" i="55"/>
  <c r="M130" i="56" s="1"/>
  <c r="L79" i="55"/>
  <c r="M79" i="56" s="1"/>
  <c r="L50" i="55"/>
  <c r="M50" i="56" s="1"/>
  <c r="L134" i="55"/>
  <c r="M134" i="56" s="1"/>
  <c r="L108" i="55"/>
  <c r="M108" i="56" s="1"/>
  <c r="M53" i="55"/>
  <c r="O53" i="55" s="1"/>
  <c r="Q53" i="55" s="1"/>
  <c r="M43" i="55"/>
  <c r="M83" i="55"/>
  <c r="M139" i="55"/>
  <c r="M161" i="55"/>
  <c r="O161" i="55" s="1"/>
  <c r="Q161" i="55" s="1"/>
  <c r="L3" i="55"/>
  <c r="M3" i="56" s="1"/>
  <c r="M46" i="55"/>
  <c r="L32" i="55"/>
  <c r="M32" i="56" s="1"/>
  <c r="L150" i="55"/>
  <c r="M150" i="56" s="1"/>
  <c r="M5" i="55"/>
  <c r="O5" i="55" s="1"/>
  <c r="Q5" i="55" s="1"/>
  <c r="F200" i="56"/>
  <c r="N200" i="56" s="1"/>
  <c r="M61" i="55"/>
  <c r="O61" i="55" s="1"/>
  <c r="Q61" i="55" s="1"/>
  <c r="M143" i="55"/>
  <c r="M156" i="55"/>
  <c r="O156" i="55" s="1"/>
  <c r="Q156" i="55" s="1"/>
  <c r="M84" i="55"/>
  <c r="L172" i="55"/>
  <c r="M172" i="56" s="1"/>
  <c r="L26" i="55"/>
  <c r="M26" i="56" s="1"/>
  <c r="L69" i="55"/>
  <c r="M69" i="56" s="1"/>
  <c r="M197" i="55"/>
  <c r="O197" i="55" s="1"/>
  <c r="Q197" i="55" s="1"/>
  <c r="M190" i="55"/>
  <c r="O190" i="55" s="1"/>
  <c r="Q190" i="55" s="1"/>
  <c r="M118" i="55"/>
  <c r="L175" i="55"/>
  <c r="M175" i="56" s="1"/>
  <c r="M64" i="55"/>
  <c r="L45" i="55"/>
  <c r="M45" i="56" s="1"/>
  <c r="M185" i="55"/>
  <c r="O185" i="55" s="1"/>
  <c r="Q185" i="55" s="1"/>
  <c r="M96" i="55"/>
  <c r="O96" i="55" s="1"/>
  <c r="Q96" i="55" s="1"/>
  <c r="M30" i="55"/>
  <c r="O30" i="55" s="1"/>
  <c r="Q30" i="55" s="1"/>
  <c r="M3" i="55"/>
  <c r="L120" i="55"/>
  <c r="M120" i="56" s="1"/>
  <c r="M149" i="55"/>
  <c r="L20" i="55"/>
  <c r="M20" i="56" s="1"/>
  <c r="M12" i="55"/>
  <c r="L139" i="55"/>
  <c r="M139" i="56" s="1"/>
  <c r="M93" i="55"/>
  <c r="L198" i="55"/>
  <c r="M198" i="56" s="1"/>
  <c r="L66" i="55"/>
  <c r="M66" i="56" s="1"/>
  <c r="L14" i="55"/>
  <c r="M14" i="56" s="1"/>
  <c r="L162" i="55"/>
  <c r="M162" i="56" s="1"/>
  <c r="L95" i="55"/>
  <c r="M95" i="56" s="1"/>
  <c r="M145" i="55"/>
  <c r="O145" i="55" s="1"/>
  <c r="Q145" i="55" s="1"/>
  <c r="M28" i="55"/>
  <c r="O28" i="55" s="1"/>
  <c r="Q28" i="55" s="1"/>
  <c r="L17" i="55"/>
  <c r="M17" i="56" s="1"/>
  <c r="M167" i="55"/>
  <c r="O167" i="55" s="1"/>
  <c r="Q167" i="55" s="1"/>
  <c r="L53" i="55"/>
  <c r="M53" i="56" s="1"/>
  <c r="L80" i="55"/>
  <c r="M80" i="56" s="1"/>
  <c r="L189" i="55"/>
  <c r="M189" i="56" s="1"/>
  <c r="L103" i="55"/>
  <c r="M103" i="56" s="1"/>
  <c r="M160" i="55"/>
  <c r="O160" i="55" s="1"/>
  <c r="Q160" i="55" s="1"/>
  <c r="L6" i="55"/>
  <c r="M6" i="56" s="1"/>
  <c r="M142" i="55"/>
  <c r="O142" i="55" s="1"/>
  <c r="Q142" i="55" s="1"/>
  <c r="L190" i="55"/>
  <c r="M190" i="56" s="1"/>
  <c r="L112" i="55"/>
  <c r="M112" i="56" s="1"/>
  <c r="M164" i="55"/>
  <c r="O164" i="55" s="1"/>
  <c r="Q164" i="55" s="1"/>
  <c r="M57" i="55"/>
  <c r="L151" i="55"/>
  <c r="M151" i="56" s="1"/>
  <c r="L62" i="55"/>
  <c r="M62" i="56" s="1"/>
  <c r="L8" i="55"/>
  <c r="M8" i="56" s="1"/>
  <c r="L170" i="55"/>
  <c r="M170" i="56" s="1"/>
  <c r="M172" i="55"/>
  <c r="O172" i="55" s="1"/>
  <c r="Q172" i="55" s="1"/>
  <c r="L42" i="55"/>
  <c r="M42" i="56" s="1"/>
  <c r="L88" i="55"/>
  <c r="M88" i="56" s="1"/>
  <c r="L19" i="55"/>
  <c r="M19" i="56" s="1"/>
  <c r="L124" i="55"/>
  <c r="M124" i="56" s="1"/>
  <c r="M50" i="55"/>
  <c r="M70" i="55"/>
  <c r="O70" i="55" s="1"/>
  <c r="Q70" i="55" s="1"/>
  <c r="L180" i="55"/>
  <c r="M180" i="56" s="1"/>
  <c r="M80" i="55"/>
  <c r="O80" i="55" s="1"/>
  <c r="Q80" i="55" s="1"/>
  <c r="L9" i="55"/>
  <c r="M9" i="56" s="1"/>
  <c r="L74" i="55"/>
  <c r="M74" i="56" s="1"/>
  <c r="M21" i="55"/>
  <c r="L13" i="55"/>
  <c r="M13" i="56" s="1"/>
  <c r="L65" i="55"/>
  <c r="M65" i="56" s="1"/>
  <c r="M68" i="55"/>
  <c r="O68" i="55" s="1"/>
  <c r="Q68" i="55" s="1"/>
  <c r="M173" i="55"/>
  <c r="O173" i="55" s="1"/>
  <c r="Q173" i="55" s="1"/>
  <c r="M128" i="55"/>
  <c r="M60" i="55"/>
  <c r="O60" i="55" s="1"/>
  <c r="Q60" i="55" s="1"/>
  <c r="M11" i="55"/>
  <c r="O11" i="55" s="1"/>
  <c r="Q11" i="55" s="1"/>
  <c r="M71" i="55"/>
  <c r="M180" i="55"/>
  <c r="O180" i="55" s="1"/>
  <c r="Q180" i="55" s="1"/>
  <c r="M100" i="55"/>
  <c r="M89" i="55"/>
  <c r="L36" i="55"/>
  <c r="M36" i="56" s="1"/>
  <c r="M117" i="55"/>
  <c r="M147" i="55"/>
  <c r="L58" i="55"/>
  <c r="M58" i="56" s="1"/>
  <c r="L182" i="55"/>
  <c r="M182" i="56" s="1"/>
  <c r="L81" i="55"/>
  <c r="M81" i="56" s="1"/>
  <c r="M38" i="55"/>
  <c r="O38" i="55" s="1"/>
  <c r="Q38" i="55" s="1"/>
  <c r="L87" i="55"/>
  <c r="M87" i="56" s="1"/>
  <c r="L78" i="55"/>
  <c r="M78" i="56" s="1"/>
  <c r="M112" i="55"/>
  <c r="M85" i="55"/>
  <c r="O85" i="55" s="1"/>
  <c r="Q85" i="55" s="1"/>
  <c r="M163" i="55"/>
  <c r="O163" i="55" s="1"/>
  <c r="Q163" i="55" s="1"/>
  <c r="L159" i="55"/>
  <c r="M159" i="56" s="1"/>
  <c r="K35" i="60"/>
  <c r="E31" i="60"/>
  <c r="K31" i="60" s="1"/>
  <c r="P126" i="55"/>
  <c r="O126" i="55"/>
  <c r="K20" i="58"/>
  <c r="K21" i="58" s="1"/>
  <c r="K22" i="58" s="1"/>
  <c r="K23" i="58" s="1"/>
  <c r="K24" i="58" s="1"/>
  <c r="K25" i="58" s="1"/>
  <c r="K26" i="58" s="1"/>
  <c r="K27" i="58" s="1"/>
  <c r="K28" i="58" s="1"/>
  <c r="K29" i="58" s="1"/>
  <c r="K30" i="58" s="1"/>
  <c r="K31" i="58" s="1"/>
  <c r="K32" i="58" s="1"/>
  <c r="K33" i="58" s="1"/>
  <c r="K34" i="58" s="1"/>
  <c r="K35" i="58" s="1"/>
  <c r="K36" i="58" s="1"/>
  <c r="K37" i="58" s="1"/>
  <c r="K38" i="58" s="1"/>
  <c r="K39" i="58" s="1"/>
  <c r="K40" i="58" s="1"/>
  <c r="K41" i="58" s="1"/>
  <c r="K42" i="58" s="1"/>
  <c r="K43" i="58" s="1"/>
  <c r="K44" i="58" s="1"/>
  <c r="K45" i="58" s="1"/>
  <c r="K46" i="58" s="1"/>
  <c r="K47" i="58" s="1"/>
  <c r="K48" i="58" s="1"/>
  <c r="K49" i="58" s="1"/>
  <c r="K50" i="58" s="1"/>
  <c r="K51" i="58" s="1"/>
  <c r="K52" i="58" s="1"/>
  <c r="K53" i="58" s="1"/>
  <c r="K54" i="58" s="1"/>
  <c r="L114" i="22"/>
  <c r="L98" i="22"/>
  <c r="C99" i="22"/>
  <c r="C98" i="22" s="1"/>
  <c r="Q146" i="55"/>
  <c r="J93" i="58"/>
  <c r="I93" i="58"/>
  <c r="K51" i="26"/>
  <c r="K52" i="26" s="1"/>
  <c r="K53" i="26" s="1"/>
  <c r="K54" i="26" s="1"/>
  <c r="K55" i="26" s="1"/>
  <c r="K56" i="26" s="1"/>
  <c r="J58" i="26"/>
  <c r="K50" i="26"/>
  <c r="K49" i="26"/>
  <c r="Q125" i="55"/>
  <c r="M114" i="22" l="1"/>
  <c r="O34" i="22"/>
  <c r="O121" i="22"/>
  <c r="O68" i="22"/>
  <c r="O92" i="22"/>
  <c r="O76" i="22"/>
  <c r="O55" i="22"/>
  <c r="O40" i="22"/>
  <c r="O79" i="22"/>
  <c r="O118" i="22"/>
  <c r="O70" i="22"/>
  <c r="O113" i="22"/>
  <c r="O14" i="22"/>
  <c r="M101" i="22"/>
  <c r="O105" i="22"/>
  <c r="O26" i="22"/>
  <c r="O107" i="22"/>
  <c r="O72" i="22"/>
  <c r="O22" i="22"/>
  <c r="O48" i="22"/>
  <c r="O90" i="22"/>
  <c r="O86" i="22"/>
  <c r="O82" i="22"/>
  <c r="O24" i="22"/>
  <c r="O10" i="22"/>
  <c r="O9" i="22"/>
  <c r="M57" i="22"/>
  <c r="O94" i="22"/>
  <c r="O28" i="22"/>
  <c r="O42" i="22"/>
  <c r="O31" i="22"/>
  <c r="O80" i="22"/>
  <c r="O53" i="22"/>
  <c r="O116" i="22"/>
  <c r="M119" i="22"/>
  <c r="O64" i="22"/>
  <c r="M77" i="22"/>
  <c r="O32" i="22"/>
  <c r="O74" i="22"/>
  <c r="O12" i="22"/>
  <c r="O124" i="22"/>
  <c r="O84" i="22"/>
  <c r="O18" i="22"/>
  <c r="M49" i="22"/>
  <c r="O66" i="22"/>
  <c r="O38" i="22"/>
  <c r="O103" i="22"/>
  <c r="O59" i="22"/>
  <c r="O16" i="22"/>
  <c r="O36" i="22"/>
  <c r="M122" i="22"/>
  <c r="M29" i="22"/>
  <c r="O20" i="22"/>
  <c r="O88" i="22"/>
  <c r="O111" i="22"/>
  <c r="M126" i="22"/>
  <c r="O62" i="22"/>
  <c r="O44" i="22"/>
  <c r="M125" i="22"/>
  <c r="O51" i="22"/>
  <c r="O96" i="22"/>
  <c r="O126" i="22"/>
  <c r="M7" i="22"/>
  <c r="O60" i="22"/>
  <c r="O46" i="22"/>
  <c r="U58" i="58"/>
  <c r="U22" i="58"/>
  <c r="U89" i="58"/>
  <c r="U74" i="58"/>
  <c r="U79" i="58"/>
  <c r="U48" i="58"/>
  <c r="U70" i="58"/>
  <c r="U85" i="58"/>
  <c r="U37" i="58"/>
  <c r="U36" i="58"/>
  <c r="U62" i="58"/>
  <c r="U12" i="58"/>
  <c r="U23" i="58"/>
  <c r="U18" i="58"/>
  <c r="U46" i="58"/>
  <c r="U45" i="58"/>
  <c r="U15" i="58"/>
  <c r="U88" i="58"/>
  <c r="U68" i="58"/>
  <c r="U50" i="58"/>
  <c r="U63" i="58"/>
  <c r="U57" i="58"/>
  <c r="U54" i="58"/>
  <c r="U64" i="58"/>
  <c r="U31" i="58"/>
  <c r="U41" i="58"/>
  <c r="U26" i="58"/>
  <c r="U53" i="58"/>
  <c r="U77" i="58"/>
  <c r="U20" i="58"/>
  <c r="U19" i="58"/>
  <c r="U42" i="58"/>
  <c r="U61" i="58"/>
  <c r="U30" i="58"/>
  <c r="U27" i="58"/>
  <c r="U69" i="58"/>
  <c r="U87" i="58"/>
  <c r="U51" i="58"/>
  <c r="U44" i="58"/>
  <c r="U55" i="58"/>
  <c r="U40" i="58"/>
  <c r="U67" i="58"/>
  <c r="U81" i="58"/>
  <c r="U16" i="58"/>
  <c r="U47" i="58"/>
  <c r="U90" i="58"/>
  <c r="U29" i="58"/>
  <c r="U21" i="58"/>
  <c r="U56" i="58"/>
  <c r="U17" i="58"/>
  <c r="U66" i="58"/>
  <c r="U14" i="58"/>
  <c r="U43" i="58"/>
  <c r="U13" i="58"/>
  <c r="V13" i="58" s="1"/>
  <c r="U59" i="58"/>
  <c r="U25" i="58"/>
  <c r="U28" i="58"/>
  <c r="U76" i="58"/>
  <c r="U86" i="58"/>
  <c r="U38" i="58"/>
  <c r="U84" i="58"/>
  <c r="U71" i="58"/>
  <c r="U78" i="58"/>
  <c r="U82" i="58"/>
  <c r="U32" i="58"/>
  <c r="U60" i="58"/>
  <c r="U33" i="58"/>
  <c r="U49" i="58"/>
  <c r="U75" i="58"/>
  <c r="U73" i="58"/>
  <c r="U39" i="58"/>
  <c r="U65" i="58"/>
  <c r="U24" i="58"/>
  <c r="U34" i="58"/>
  <c r="U80" i="58"/>
  <c r="U35" i="58"/>
  <c r="U83" i="58"/>
  <c r="U72" i="58"/>
  <c r="D10" i="57"/>
  <c r="L200" i="55"/>
  <c r="L201" i="55" s="1"/>
  <c r="D9" i="57" s="1"/>
  <c r="M98" i="22"/>
  <c r="Q126" i="55"/>
  <c r="I100" i="22"/>
  <c r="J99" i="22" s="1"/>
  <c r="K99" i="22" s="1"/>
  <c r="P5" i="22" l="1"/>
  <c r="N5" i="22"/>
  <c r="V14" i="58"/>
  <c r="V15" i="58" s="1"/>
  <c r="V16" i="58" s="1"/>
  <c r="V17" i="58" s="1"/>
  <c r="V18" i="58" s="1"/>
  <c r="V19" i="58" s="1"/>
  <c r="V20" i="58" s="1"/>
  <c r="V21" i="58" s="1"/>
  <c r="V22" i="58" s="1"/>
  <c r="V23" i="58" s="1"/>
  <c r="V24" i="58" s="1"/>
  <c r="V25" i="58" s="1"/>
  <c r="V26" i="58" s="1"/>
  <c r="V27" i="58" s="1"/>
  <c r="V28" i="58" s="1"/>
  <c r="V29" i="58" s="1"/>
  <c r="V30" i="58" s="1"/>
  <c r="V31" i="58" s="1"/>
  <c r="V32" i="58" s="1"/>
  <c r="V33" i="58" s="1"/>
  <c r="U93" i="58"/>
  <c r="D5" i="57"/>
  <c r="D7" i="57"/>
  <c r="D6" i="57"/>
  <c r="D4" i="57"/>
  <c r="D3" i="57"/>
  <c r="E10" i="57"/>
  <c r="Q200" i="55"/>
  <c r="D8" i="57" l="1"/>
  <c r="Q201" i="55"/>
  <c r="E9" i="57" s="1"/>
  <c r="E7" i="57"/>
  <c r="E4" i="57"/>
  <c r="E6" i="57"/>
  <c r="E3" i="57"/>
  <c r="E5" i="57"/>
  <c r="V34" i="58"/>
  <c r="E8" i="57" l="1"/>
  <c r="V35" i="58"/>
  <c r="V36" i="58" l="1"/>
  <c r="V37" i="58" l="1"/>
  <c r="V38" i="58" l="1"/>
  <c r="V39" i="58" l="1"/>
  <c r="V40" i="58" l="1"/>
  <c r="V41" i="58" l="1"/>
  <c r="V42" i="58" l="1"/>
  <c r="V43" i="58" l="1"/>
  <c r="V44" i="58" l="1"/>
  <c r="V45" i="58" l="1"/>
  <c r="V46" i="58" l="1"/>
  <c r="V47" i="58" l="1"/>
  <c r="V48" i="58" l="1"/>
  <c r="V49" i="58" l="1"/>
  <c r="V50" i="58" l="1"/>
  <c r="V51" i="58" l="1"/>
  <c r="V52" i="58" l="1"/>
  <c r="V53" i="58" l="1"/>
  <c r="V54" i="58" l="1"/>
  <c r="K12" i="58" l="1"/>
  <c r="K13" i="58" s="1"/>
  <c r="K14" i="58" s="1"/>
  <c r="K15" i="58" s="1"/>
  <c r="K16" i="58" s="1"/>
  <c r="K17" i="58" s="1"/>
  <c r="K18" i="58" s="1"/>
  <c r="V55" i="58"/>
  <c r="V56" i="58" s="1"/>
  <c r="V57" i="58" s="1"/>
  <c r="K62" i="58"/>
  <c r="K81" i="58" s="1"/>
  <c r="K66" i="58"/>
  <c r="K90" i="58" s="1"/>
  <c r="K78" i="58"/>
  <c r="K76" i="58" s="1"/>
  <c r="K86" i="58" s="1"/>
  <c r="K74" i="58"/>
  <c r="K65" i="58"/>
  <c r="K67" i="58"/>
  <c r="K89" i="58"/>
  <c r="K82" i="58" s="1"/>
  <c r="K69" i="58"/>
  <c r="K88" i="58"/>
  <c r="K71" i="58" s="1"/>
  <c r="K77" i="58"/>
  <c r="K91" i="58"/>
  <c r="K55" i="58" l="1"/>
  <c r="K58" i="58"/>
  <c r="K59" i="58" s="1"/>
  <c r="K60" i="58" s="1"/>
  <c r="K75" i="58"/>
  <c r="K57" i="58"/>
  <c r="K87" i="58"/>
  <c r="K85" i="58" s="1"/>
  <c r="V58" i="58"/>
  <c r="V59" i="58" l="1"/>
  <c r="V60" i="58" l="1"/>
  <c r="V61" i="58" l="1"/>
  <c r="V62" i="58" l="1"/>
  <c r="V63" i="58" l="1"/>
  <c r="V64" i="58" l="1"/>
  <c r="V65" i="58" l="1"/>
  <c r="V66" i="58" l="1"/>
  <c r="V67" i="58" l="1"/>
  <c r="V68" i="58" s="1"/>
  <c r="V69" i="58" s="1"/>
  <c r="V70" i="58" s="1"/>
  <c r="V71" i="58" s="1"/>
  <c r="V72" i="58" s="1"/>
  <c r="V73" i="58" s="1"/>
  <c r="V74" i="58" s="1"/>
  <c r="V75" i="58" s="1"/>
  <c r="V76" i="58" s="1"/>
  <c r="V77" i="58" s="1"/>
  <c r="V78" i="58" s="1"/>
  <c r="V79" i="58" s="1"/>
  <c r="V80" i="58" s="1"/>
  <c r="V81" i="58" s="1"/>
  <c r="V82" i="58" s="1"/>
  <c r="V83" i="58" s="1"/>
  <c r="V84" i="58" s="1"/>
  <c r="V85" i="58" s="1"/>
  <c r="V86" i="58" s="1"/>
  <c r="V87" i="58" s="1"/>
  <c r="V88" i="58" s="1"/>
  <c r="V89" i="58" s="1"/>
  <c r="V90" i="58" s="1"/>
  <c r="W30" i="58" s="1"/>
  <c r="W36" i="58" l="1"/>
  <c r="W52" i="58"/>
  <c r="W45" i="58"/>
  <c r="W23" i="58"/>
  <c r="W44" i="58"/>
  <c r="W18" i="58"/>
  <c r="W43" i="58"/>
  <c r="W22" i="58"/>
  <c r="W25" i="58"/>
  <c r="W21" i="58"/>
  <c r="W26" i="58"/>
  <c r="W17" i="58"/>
  <c r="W46" i="58"/>
  <c r="W53" i="58"/>
  <c r="W42" i="58"/>
  <c r="W54" i="58"/>
  <c r="V91" i="58"/>
  <c r="W91" i="58" s="1"/>
  <c r="W12" i="58"/>
  <c r="W34" i="58"/>
  <c r="W38" i="58"/>
  <c r="W50" i="58"/>
  <c r="W14" i="58"/>
  <c r="W41" i="58"/>
  <c r="W13" i="58"/>
  <c r="W40" i="58"/>
  <c r="W24" i="58"/>
  <c r="W29" i="58"/>
  <c r="W19" i="58"/>
  <c r="W33" i="58"/>
  <c r="W28" i="58"/>
  <c r="W35" i="58"/>
  <c r="W16" i="58"/>
  <c r="W47" i="58"/>
  <c r="W32" i="58"/>
  <c r="W15" i="58"/>
  <c r="W39" i="58"/>
  <c r="W31" i="58"/>
  <c r="W48" i="58"/>
  <c r="W20" i="58"/>
  <c r="W51" i="58"/>
  <c r="W27" i="58"/>
  <c r="W37" i="58"/>
  <c r="W49" i="58"/>
  <c r="K56" i="58" l="1"/>
  <c r="K84" i="58"/>
  <c r="K83" i="58"/>
  <c r="K80" i="58"/>
  <c r="K73"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roberto</author>
    <author>Roberto Lucero</author>
  </authors>
  <commentList>
    <comment ref="D165" authorId="0" shapeId="0" xr:uid="{00000000-0006-0000-0700-000001000000}">
      <text>
        <r>
          <rPr>
            <b/>
            <sz val="9"/>
            <color indexed="81"/>
            <rFont val="Tahoma"/>
            <family val="2"/>
          </rPr>
          <t>roberto:</t>
        </r>
        <r>
          <rPr>
            <sz val="9"/>
            <color indexed="81"/>
            <rFont val="Tahoma"/>
            <family val="2"/>
          </rPr>
          <t xml:space="preserve">
http://www.mag.go.cr/rev_agr/v33n01-031.pdf  </t>
        </r>
      </text>
    </comment>
    <comment ref="D168" authorId="1" shapeId="0" xr:uid="{00000000-0006-0000-0700-000002000000}">
      <text>
        <r>
          <rPr>
            <b/>
            <sz val="9"/>
            <color indexed="81"/>
            <rFont val="Tahoma"/>
            <family val="2"/>
          </rPr>
          <t>Roberto Lucero:</t>
        </r>
        <r>
          <rPr>
            <sz val="9"/>
            <color indexed="81"/>
            <rFont val="Tahoma"/>
            <family val="2"/>
          </rPr>
          <t xml:space="preserve">
nivel de pureza recomendado del volumen de N procesado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H18" authorId="0" shapeId="0" xr:uid="{00000000-0006-0000-0D00-000001000000}">
      <text>
        <r>
          <rPr>
            <b/>
            <sz val="9"/>
            <color indexed="81"/>
            <rFont val="Tahoma"/>
            <family val="2"/>
          </rPr>
          <t>Roberto Lucero:</t>
        </r>
        <r>
          <rPr>
            <sz val="9"/>
            <color indexed="81"/>
            <rFont val="Tahoma"/>
            <family val="2"/>
          </rPr>
          <t xml:space="preserve">
actualizado</t>
        </r>
      </text>
    </comment>
    <comment ref="R19" authorId="0" shapeId="0" xr:uid="{00000000-0006-0000-0D00-000002000000}">
      <text>
        <r>
          <rPr>
            <b/>
            <sz val="9"/>
            <color indexed="81"/>
            <rFont val="Tahoma"/>
            <family val="2"/>
          </rPr>
          <t>Roberto Lucero:</t>
        </r>
        <r>
          <rPr>
            <sz val="9"/>
            <color indexed="81"/>
            <rFont val="Tahoma"/>
            <family val="2"/>
          </rPr>
          <t xml:space="preserve">
actualizado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S11" authorId="0" shapeId="0" xr:uid="{00000000-0006-0000-0E00-000001000000}">
      <text>
        <r>
          <rPr>
            <b/>
            <sz val="9"/>
            <color indexed="81"/>
            <rFont val="Tahoma"/>
            <family val="2"/>
          </rPr>
          <t>Roberto Lucero:</t>
        </r>
        <r>
          <rPr>
            <sz val="9"/>
            <color indexed="81"/>
            <rFont val="Tahoma"/>
            <family val="2"/>
          </rPr>
          <t xml:space="preserve">
dato tomado de granis genericos tabla 11.1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tc={6BD0426E-0529-45BB-B569-A726DBC59577}</author>
  </authors>
  <commentList>
    <comment ref="I123" authorId="0" shapeId="0" xr:uid="{6BD0426E-0529-45BB-B569-A726DBC59577}">
      <text>
        <t>[Threaded comment]
Your version of Excel allows you to read this threaded comment; however, any edits to it will get removed if the file is opened in a newer version of Excel. Learn more: https://go.microsoft.com/fwlink/?linkid=870924
Comment:
    Mixed FE and AWSM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C55" authorId="0" shapeId="0" xr:uid="{8A0B91B4-80C5-4C45-B4D8-BDB5C318DE49}">
      <text>
        <r>
          <rPr>
            <b/>
            <sz val="9"/>
            <color indexed="81"/>
            <rFont val="Tahoma"/>
            <family val="2"/>
          </rPr>
          <t>Roberto Lucero:</t>
        </r>
        <r>
          <rPr>
            <sz val="9"/>
            <color indexed="81"/>
            <rFont val="Tahoma"/>
            <family val="2"/>
          </rPr>
          <t xml:space="preserve">
Cambio acordado con revisión, asunto pregunta 5</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<sst xmlns="http://schemas.openxmlformats.org/spreadsheetml/2006/main" count="12359" uniqueCount="2414">
  <si>
    <t>Fuentes y Categorías</t>
  </si>
  <si>
    <t>4.D. Suelos Agrícolas</t>
  </si>
  <si>
    <t>Porcentaje de N (%)</t>
  </si>
  <si>
    <t>Fuente</t>
  </si>
  <si>
    <t>Total (t)</t>
  </si>
  <si>
    <t>Total N
(C*T)*1000
Kg/año</t>
  </si>
  <si>
    <t>Nitrato de amonio</t>
  </si>
  <si>
    <t>A</t>
  </si>
  <si>
    <t>F</t>
  </si>
  <si>
    <t>Fosfato diamónico</t>
  </si>
  <si>
    <t>Sulfato de amonio</t>
  </si>
  <si>
    <t>Nitrato de calcio</t>
  </si>
  <si>
    <t>Fosfato Monoamónico</t>
  </si>
  <si>
    <t>Nitrato de potasio</t>
  </si>
  <si>
    <t>Nitrato de sodio</t>
  </si>
  <si>
    <t>TOTALES</t>
  </si>
  <si>
    <t>Urea</t>
  </si>
  <si>
    <t>CNA 2000, tabla 20_00</t>
  </si>
  <si>
    <t>ESPAC 2006, tabla 6_06</t>
  </si>
  <si>
    <t>ESPAC 2010, tabla 6_10</t>
  </si>
  <si>
    <t>ESPAC 2012, tabla 6</t>
  </si>
  <si>
    <t>Ganado Lechero</t>
  </si>
  <si>
    <t>No Lechero Toros (Mayores a 1 año)</t>
  </si>
  <si>
    <t>No Lechero Vacas (Vacas madre, vacas vientre, otras hembras) menos el número de vacas lecheras</t>
  </si>
  <si>
    <t>No Lechero En crecimiento (menores de un año de edad)</t>
  </si>
  <si>
    <t>Búfalo</t>
  </si>
  <si>
    <t>Ovejas</t>
  </si>
  <si>
    <t>Cabras</t>
  </si>
  <si>
    <t>Caballos</t>
  </si>
  <si>
    <t>Mulas y Asnos</t>
  </si>
  <si>
    <t>Cerdos</t>
  </si>
  <si>
    <t>Aves de engorde</t>
  </si>
  <si>
    <t>Patos</t>
  </si>
  <si>
    <t>Pavos</t>
  </si>
  <si>
    <t>Ponedoras</t>
  </si>
  <si>
    <t>Otros (Especificar)</t>
  </si>
  <si>
    <t>Cabezas</t>
  </si>
  <si>
    <t>No LecheroToros</t>
  </si>
  <si>
    <t>No Lechero Vacas</t>
  </si>
  <si>
    <t>No Lechero En crecimiento</t>
  </si>
  <si>
    <t>Búfalos</t>
  </si>
  <si>
    <t>NA</t>
  </si>
  <si>
    <t>Mulas &amp; Asnos</t>
  </si>
  <si>
    <t>.</t>
  </si>
  <si>
    <t>Kg</t>
  </si>
  <si>
    <t>M</t>
  </si>
  <si>
    <t>Total</t>
  </si>
  <si>
    <t>Superficie sembrada Cultivo Arroz</t>
  </si>
  <si>
    <t>Total /(has)</t>
  </si>
  <si>
    <t>Total (miles has)</t>
  </si>
  <si>
    <t>Total de superficie sembrada</t>
  </si>
  <si>
    <t>Trigo</t>
  </si>
  <si>
    <t>Maíz</t>
  </si>
  <si>
    <t>Arroz</t>
  </si>
  <si>
    <t>Caña de azúcar</t>
  </si>
  <si>
    <r>
      <t>CH</t>
    </r>
    <r>
      <rPr>
        <vertAlign val="subscript"/>
        <sz val="12"/>
        <rFont val="Times New Roman"/>
        <family val="1"/>
      </rPr>
      <t>4</t>
    </r>
  </si>
  <si>
    <r>
      <t>N</t>
    </r>
    <r>
      <rPr>
        <vertAlign val="subscript"/>
        <sz val="12"/>
        <rFont val="Times New Roman"/>
        <family val="1"/>
      </rPr>
      <t>2</t>
    </r>
    <r>
      <rPr>
        <sz val="9"/>
        <rFont val="Times New Roman"/>
        <family val="1"/>
      </rPr>
      <t>O</t>
    </r>
  </si>
  <si>
    <r>
      <t>NO</t>
    </r>
    <r>
      <rPr>
        <vertAlign val="subscript"/>
        <sz val="12"/>
        <rFont val="Times New Roman"/>
        <family val="1"/>
      </rPr>
      <t>x</t>
    </r>
  </si>
  <si>
    <t>CNA 2000, tabla 6_00</t>
  </si>
  <si>
    <t>CNA Provincial 2000, tabla 35</t>
  </si>
  <si>
    <t>N/D</t>
  </si>
  <si>
    <t>CNA 2000, tabla 7_00</t>
  </si>
  <si>
    <t>ESPAC 2006, tabla 51_6</t>
  </si>
  <si>
    <t>ESPAC 2006, tabla 38_6</t>
  </si>
  <si>
    <t>ESPAC 2006, tabla 38_06</t>
  </si>
  <si>
    <t>ESPAC 2006, tabla 10_06</t>
  </si>
  <si>
    <t>FAO 2005, Situación de los camélidos sudamericanos en Ecuador</t>
  </si>
  <si>
    <t>ESPAC 2006, tabla 47 y 48</t>
  </si>
  <si>
    <t>ESPAC 2006, tabla 48</t>
  </si>
  <si>
    <t>ESPAC 2010, tabla 51_10</t>
  </si>
  <si>
    <t>ESPAC 2010, tabla 38_10</t>
  </si>
  <si>
    <t>ESPAC 2010, tabla 10_10</t>
  </si>
  <si>
    <t>MAGAP_Subsecretaría de Ganadería_2013</t>
  </si>
  <si>
    <t>ESPAC 2010, tabla 47 y 48</t>
  </si>
  <si>
    <t>ESPAC 2010, tabla 48</t>
  </si>
  <si>
    <t>ESPAC 2012, tabla 51</t>
  </si>
  <si>
    <t>ESPAC 2012, tabla 38</t>
  </si>
  <si>
    <t>ESPAC 2012, tabla 10</t>
  </si>
  <si>
    <t>ESPAC 2012, tabla 47 y 48</t>
  </si>
  <si>
    <t>ESPAC 2012, tabla 48</t>
  </si>
  <si>
    <t xml:space="preserve"> (Gg) </t>
  </si>
  <si>
    <t>E  Prescribed Burning of Savannas</t>
  </si>
  <si>
    <t>Sector</t>
  </si>
  <si>
    <t>CO2</t>
  </si>
  <si>
    <t>CH4</t>
  </si>
  <si>
    <t>N2O</t>
  </si>
  <si>
    <t>HFC-23</t>
  </si>
  <si>
    <t>4.A</t>
  </si>
  <si>
    <t>4.B</t>
  </si>
  <si>
    <t>4.D</t>
  </si>
  <si>
    <t>IPCC SAR</t>
  </si>
  <si>
    <t>IPCC TAR</t>
  </si>
  <si>
    <t>HFC-125</t>
  </si>
  <si>
    <t>HFC-134a</t>
  </si>
  <si>
    <t>HFC-143a</t>
  </si>
  <si>
    <t>HFC-152a</t>
  </si>
  <si>
    <t>HFC-227ea</t>
  </si>
  <si>
    <t>HFC-236fa</t>
  </si>
  <si>
    <t>HFC-4310mee</t>
  </si>
  <si>
    <r>
      <t>CF</t>
    </r>
    <r>
      <rPr>
        <vertAlign val="subscript"/>
        <sz val="10"/>
        <rFont val="Arial"/>
        <family val="2"/>
      </rPr>
      <t>4</t>
    </r>
  </si>
  <si>
    <r>
      <t>C</t>
    </r>
    <r>
      <rPr>
        <vertAlign val="subscript"/>
        <sz val="10"/>
        <rFont val="Arial"/>
        <family val="2"/>
      </rPr>
      <t>2</t>
    </r>
    <r>
      <rPr>
        <sz val="10"/>
        <rFont val="Arial"/>
        <family val="2"/>
      </rPr>
      <t>F</t>
    </r>
    <r>
      <rPr>
        <vertAlign val="subscript"/>
        <sz val="10"/>
        <rFont val="Arial"/>
        <family val="2"/>
      </rPr>
      <t>6</t>
    </r>
  </si>
  <si>
    <r>
      <t>C</t>
    </r>
    <r>
      <rPr>
        <vertAlign val="subscript"/>
        <sz val="10"/>
        <rFont val="Arial"/>
        <family val="2"/>
      </rPr>
      <t>4</t>
    </r>
    <r>
      <rPr>
        <sz val="10"/>
        <rFont val="Arial"/>
        <family val="2"/>
      </rPr>
      <t>F</t>
    </r>
    <r>
      <rPr>
        <vertAlign val="subscript"/>
        <sz val="10"/>
        <rFont val="Arial"/>
        <family val="2"/>
      </rPr>
      <t>10</t>
    </r>
  </si>
  <si>
    <r>
      <t>C</t>
    </r>
    <r>
      <rPr>
        <vertAlign val="subscript"/>
        <sz val="10"/>
        <rFont val="Arial"/>
        <family val="2"/>
      </rPr>
      <t>6</t>
    </r>
    <r>
      <rPr>
        <sz val="10"/>
        <rFont val="Arial"/>
        <family val="2"/>
      </rPr>
      <t>F</t>
    </r>
    <r>
      <rPr>
        <vertAlign val="subscript"/>
        <sz val="10"/>
        <rFont val="Arial"/>
        <family val="2"/>
      </rPr>
      <t>14</t>
    </r>
  </si>
  <si>
    <r>
      <t>SF</t>
    </r>
    <r>
      <rPr>
        <vertAlign val="subscript"/>
        <sz val="10"/>
        <rFont val="Arial"/>
        <family val="2"/>
      </rPr>
      <t>6</t>
    </r>
  </si>
  <si>
    <t>3C3</t>
  </si>
  <si>
    <t>1 of 1</t>
  </si>
  <si>
    <t>EF</t>
  </si>
  <si>
    <t>(a)</t>
  </si>
  <si>
    <t>(b)</t>
  </si>
  <si>
    <t>(c)</t>
  </si>
  <si>
    <t>3A2</t>
  </si>
  <si>
    <t>Eq. 10.25</t>
  </si>
  <si>
    <t>[kg N</t>
  </si>
  <si>
    <t>(kg)</t>
  </si>
  <si>
    <r>
      <t>(kg N animal</t>
    </r>
    <r>
      <rPr>
        <vertAlign val="superscript"/>
        <sz val="9"/>
        <rFont val="Arial"/>
        <family val="2"/>
      </rPr>
      <t>-1</t>
    </r>
    <r>
      <rPr>
        <sz val="9"/>
        <rFont val="Arial"/>
        <family val="2"/>
      </rPr>
      <t xml:space="preserve"> </t>
    </r>
  </si>
  <si>
    <t>(-)</t>
  </si>
  <si>
    <r>
      <t>(kg N yr</t>
    </r>
    <r>
      <rPr>
        <vertAlign val="superscript"/>
        <sz val="9"/>
        <rFont val="Arial"/>
        <family val="2"/>
      </rPr>
      <t>-1</t>
    </r>
    <r>
      <rPr>
        <sz val="9"/>
        <rFont val="Arial"/>
        <family val="2"/>
      </rPr>
      <t>)</t>
    </r>
  </si>
  <si>
    <r>
      <t>[kg N</t>
    </r>
    <r>
      <rPr>
        <vertAlign val="subscript"/>
        <sz val="9"/>
        <rFont val="Arial"/>
        <family val="2"/>
      </rPr>
      <t>2</t>
    </r>
    <r>
      <rPr>
        <sz val="9"/>
        <rFont val="Arial"/>
        <family val="2"/>
      </rPr>
      <t>O-N</t>
    </r>
  </si>
  <si>
    <r>
      <t>kg N</t>
    </r>
    <r>
      <rPr>
        <vertAlign val="subscript"/>
        <sz val="9"/>
        <rFont val="Arial"/>
        <family val="2"/>
      </rPr>
      <t>2</t>
    </r>
    <r>
      <rPr>
        <sz val="9"/>
        <rFont val="Arial"/>
        <family val="2"/>
      </rPr>
      <t>O yr</t>
    </r>
    <r>
      <rPr>
        <vertAlign val="superscript"/>
        <sz val="9"/>
        <rFont val="Arial"/>
        <family val="2"/>
      </rPr>
      <t>-1</t>
    </r>
  </si>
  <si>
    <r>
      <t>Nex</t>
    </r>
    <r>
      <rPr>
        <vertAlign val="subscript"/>
        <sz val="9"/>
        <rFont val="Arial"/>
        <family val="2"/>
      </rPr>
      <t>(T)</t>
    </r>
    <r>
      <rPr>
        <sz val="9"/>
        <rFont val="Arial"/>
        <family val="2"/>
      </rPr>
      <t xml:space="preserve"> = N</t>
    </r>
    <r>
      <rPr>
        <vertAlign val="subscript"/>
        <sz val="9"/>
        <rFont val="Arial"/>
        <family val="2"/>
      </rPr>
      <t>rate(T)</t>
    </r>
    <r>
      <rPr>
        <sz val="9"/>
        <rFont val="Arial"/>
        <family val="2"/>
      </rPr>
      <t xml:space="preserve"> * TAM * 10</t>
    </r>
    <r>
      <rPr>
        <vertAlign val="superscript"/>
        <sz val="9"/>
        <rFont val="Arial"/>
        <family val="2"/>
      </rPr>
      <t>-3</t>
    </r>
    <r>
      <rPr>
        <sz val="9"/>
        <rFont val="Arial"/>
        <family val="2"/>
      </rPr>
      <t xml:space="preserve"> * 365</t>
    </r>
  </si>
  <si>
    <r>
      <t>N</t>
    </r>
    <r>
      <rPr>
        <vertAlign val="subscript"/>
        <sz val="9"/>
        <rFont val="Arial"/>
        <family val="2"/>
      </rPr>
      <t>2</t>
    </r>
    <r>
      <rPr>
        <sz val="9"/>
        <rFont val="Arial"/>
        <family val="2"/>
      </rPr>
      <t>O</t>
    </r>
    <r>
      <rPr>
        <vertAlign val="subscript"/>
        <sz val="9"/>
        <rFont val="Arial"/>
        <family val="2"/>
      </rPr>
      <t>(mm)</t>
    </r>
    <r>
      <rPr>
        <sz val="9"/>
        <rFont val="Arial"/>
        <family val="2"/>
      </rPr>
      <t xml:space="preserve"> =</t>
    </r>
  </si>
  <si>
    <r>
      <t>NE</t>
    </r>
    <r>
      <rPr>
        <vertAlign val="subscript"/>
        <sz val="9"/>
        <rFont val="Arial"/>
        <family val="2"/>
      </rPr>
      <t>MMS</t>
    </r>
    <r>
      <rPr>
        <sz val="9"/>
        <rFont val="Arial"/>
        <family val="2"/>
      </rPr>
      <t xml:space="preserve"> * EF</t>
    </r>
    <r>
      <rPr>
        <vertAlign val="subscript"/>
        <sz val="9"/>
        <rFont val="Arial"/>
        <family val="2"/>
      </rPr>
      <t>3(S)</t>
    </r>
    <r>
      <rPr>
        <sz val="9"/>
        <rFont val="Arial"/>
        <family val="2"/>
      </rPr>
      <t xml:space="preserve"> * 44/28</t>
    </r>
  </si>
  <si>
    <t>S</t>
  </si>
  <si>
    <t>T</t>
  </si>
  <si>
    <t>TAM</t>
  </si>
  <si>
    <r>
      <t>EF</t>
    </r>
    <r>
      <rPr>
        <b/>
        <vertAlign val="subscript"/>
        <sz val="9"/>
        <rFont val="Times New Roman"/>
        <family val="1"/>
      </rPr>
      <t>3(S)</t>
    </r>
  </si>
  <si>
    <r>
      <t>N</t>
    </r>
    <r>
      <rPr>
        <b/>
        <vertAlign val="subscript"/>
        <sz val="9"/>
        <rFont val="Arial"/>
        <family val="2"/>
      </rPr>
      <t>2</t>
    </r>
    <r>
      <rPr>
        <b/>
        <sz val="9"/>
        <rFont val="Arial"/>
        <family val="2"/>
      </rPr>
      <t>O</t>
    </r>
    <r>
      <rPr>
        <b/>
        <vertAlign val="subscript"/>
        <sz val="9"/>
        <rFont val="Arial"/>
        <family val="2"/>
      </rPr>
      <t xml:space="preserve">D(mm) </t>
    </r>
  </si>
  <si>
    <t>3C6</t>
  </si>
  <si>
    <r>
      <t>(kg N yr</t>
    </r>
    <r>
      <rPr>
        <vertAlign val="superscript"/>
        <sz val="8"/>
        <rFont val="Arial"/>
        <family val="2"/>
      </rPr>
      <t>-1</t>
    </r>
    <r>
      <rPr>
        <sz val="8"/>
        <rFont val="Arial"/>
        <family val="2"/>
      </rPr>
      <t>)</t>
    </r>
  </si>
  <si>
    <t>3C4</t>
  </si>
  <si>
    <t>Table 11.1</t>
  </si>
  <si>
    <r>
      <t xml:space="preserve"> [kg N2O-N (kg N input)</t>
    </r>
    <r>
      <rPr>
        <vertAlign val="superscript"/>
        <sz val="8"/>
        <rFont val="Arial"/>
        <family val="2"/>
      </rPr>
      <t>-1</t>
    </r>
    <r>
      <rPr>
        <sz val="8"/>
        <rFont val="Arial"/>
        <family val="2"/>
      </rPr>
      <t>]</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</si>
  <si>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</si>
  <si>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N</t>
    </r>
    <r>
      <rPr>
        <vertAlign val="subscript"/>
        <sz val="8"/>
        <color indexed="8"/>
        <rFont val="Arial"/>
        <family val="2"/>
      </rPr>
      <t>2</t>
    </r>
    <r>
      <rPr>
        <sz val="8"/>
        <color indexed="8"/>
        <rFont val="Arial"/>
        <family val="2"/>
      </rPr>
      <t>O-N</t>
    </r>
    <r>
      <rPr>
        <vertAlign val="subscript"/>
        <sz val="8"/>
        <color indexed="8"/>
        <rFont val="Arial"/>
        <family val="2"/>
      </rPr>
      <t>N inputs</t>
    </r>
    <r>
      <rPr>
        <sz val="8"/>
        <color indexed="8"/>
        <rFont val="Arial"/>
        <family val="2"/>
      </rPr>
      <t xml:space="preserve"> = F * EF</t>
    </r>
  </si>
  <si>
    <r>
      <t>N</t>
    </r>
    <r>
      <rPr>
        <b/>
        <vertAlign val="subscript"/>
        <sz val="8"/>
        <color indexed="8"/>
        <rFont val="Arial"/>
        <family val="2"/>
      </rPr>
      <t>2</t>
    </r>
    <r>
      <rPr>
        <b/>
        <sz val="8"/>
        <color indexed="8"/>
        <rFont val="Arial"/>
        <family val="2"/>
      </rPr>
      <t>O-N</t>
    </r>
    <r>
      <rPr>
        <b/>
        <vertAlign val="subscript"/>
        <sz val="8"/>
        <color indexed="8"/>
        <rFont val="Arial"/>
        <family val="2"/>
      </rPr>
      <t>N inputs</t>
    </r>
  </si>
  <si>
    <r>
      <t>EF</t>
    </r>
    <r>
      <rPr>
        <vertAlign val="subscript"/>
        <sz val="8"/>
        <rFont val="Arial"/>
        <family val="2"/>
      </rPr>
      <t>1</t>
    </r>
  </si>
  <si>
    <r>
      <t>EF</t>
    </r>
    <r>
      <rPr>
        <vertAlign val="subscript"/>
        <sz val="8"/>
        <rFont val="Arial"/>
        <family val="2"/>
      </rPr>
      <t>1FR</t>
    </r>
  </si>
  <si>
    <t>(ha)</t>
  </si>
  <si>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</si>
  <si>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</si>
  <si>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</si>
  <si>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ha</t>
    </r>
    <r>
      <rPr>
        <vertAlign val="superscript"/>
        <sz val="8"/>
        <rFont val="Arial"/>
        <family val="2"/>
      </rPr>
      <t>-1</t>
    </r>
    <r>
      <rPr>
        <sz val="8"/>
        <rFont val="Arial"/>
        <family val="2"/>
      </rPr>
      <t xml:space="preserve"> yr</t>
    </r>
    <r>
      <rPr>
        <vertAlign val="superscript"/>
        <sz val="8"/>
        <rFont val="Arial"/>
        <family val="2"/>
      </rPr>
      <t>-1</t>
    </r>
    <r>
      <rPr>
        <sz val="8"/>
        <rFont val="Arial"/>
        <family val="2"/>
      </rPr>
      <t>)</t>
    </r>
  </si>
  <si>
    <r>
      <t>(kg N input)</t>
    </r>
    <r>
      <rPr>
        <vertAlign val="superscript"/>
        <sz val="8"/>
        <rFont val="Arial"/>
        <family val="2"/>
      </rPr>
      <t>-1</t>
    </r>
    <r>
      <rPr>
        <sz val="8"/>
        <rFont val="Arial"/>
        <family val="2"/>
      </rPr>
      <t>]</t>
    </r>
  </si>
  <si>
    <r>
      <t>yr</t>
    </r>
    <r>
      <rPr>
        <vertAlign val="superscript"/>
        <sz val="8"/>
        <rFont val="Arial"/>
        <family val="2"/>
      </rPr>
      <t>-1</t>
    </r>
    <r>
      <rPr>
        <sz val="8"/>
        <rFont val="Arial"/>
        <family val="2"/>
      </rPr>
      <t>)</t>
    </r>
  </si>
  <si>
    <r>
      <t>N</t>
    </r>
    <r>
      <rPr>
        <vertAlign val="subscript"/>
        <sz val="8"/>
        <rFont val="Arial"/>
        <family val="2"/>
      </rPr>
      <t>2</t>
    </r>
    <r>
      <rPr>
        <sz val="8"/>
        <rFont val="Arial"/>
        <family val="2"/>
      </rPr>
      <t>O-N</t>
    </r>
    <r>
      <rPr>
        <vertAlign val="subscript"/>
        <sz val="8"/>
        <rFont val="Arial"/>
        <family val="2"/>
      </rPr>
      <t>OS</t>
    </r>
    <r>
      <rPr>
        <sz val="8"/>
        <rFont val="Arial"/>
        <family val="2"/>
      </rPr>
      <t xml:space="preserve"> = F</t>
    </r>
    <r>
      <rPr>
        <vertAlign val="subscript"/>
        <sz val="8"/>
        <rFont val="Arial"/>
        <family val="2"/>
      </rPr>
      <t>OS</t>
    </r>
    <r>
      <rPr>
        <sz val="8"/>
        <rFont val="Arial"/>
        <family val="2"/>
      </rPr>
      <t xml:space="preserve"> * EF</t>
    </r>
    <r>
      <rPr>
        <vertAlign val="subscript"/>
        <sz val="8"/>
        <rFont val="Arial"/>
        <family val="2"/>
      </rPr>
      <t>2</t>
    </r>
  </si>
  <si>
    <r>
      <t>N</t>
    </r>
    <r>
      <rPr>
        <vertAlign val="subscript"/>
        <sz val="8"/>
        <rFont val="Arial"/>
        <family val="2"/>
      </rPr>
      <t>2</t>
    </r>
    <r>
      <rPr>
        <sz val="8"/>
        <rFont val="Arial"/>
        <family val="2"/>
      </rPr>
      <t>O-N</t>
    </r>
    <r>
      <rPr>
        <vertAlign val="subscript"/>
        <sz val="8"/>
        <rFont val="Arial"/>
        <family val="2"/>
      </rPr>
      <t>PRP</t>
    </r>
    <r>
      <rPr>
        <sz val="8"/>
        <rFont val="Arial"/>
        <family val="2"/>
      </rPr>
      <t xml:space="preserve"> = F</t>
    </r>
    <r>
      <rPr>
        <vertAlign val="subscript"/>
        <sz val="8"/>
        <rFont val="Arial"/>
        <family val="2"/>
      </rPr>
      <t>PRP</t>
    </r>
    <r>
      <rPr>
        <sz val="8"/>
        <rFont val="Arial"/>
        <family val="2"/>
      </rPr>
      <t xml:space="preserve"> * EF</t>
    </r>
    <r>
      <rPr>
        <vertAlign val="subscript"/>
        <sz val="8"/>
        <rFont val="Arial"/>
        <family val="2"/>
      </rPr>
      <t>3PRP</t>
    </r>
  </si>
  <si>
    <r>
      <t>N</t>
    </r>
    <r>
      <rPr>
        <vertAlign val="subscript"/>
        <sz val="8"/>
        <rFont val="Arial"/>
        <family val="2"/>
      </rPr>
      <t>2</t>
    </r>
    <r>
      <rPr>
        <sz val="8"/>
        <rFont val="Arial"/>
        <family val="2"/>
      </rPr>
      <t>O</t>
    </r>
    <r>
      <rPr>
        <vertAlign val="subscript"/>
        <sz val="8"/>
        <rFont val="Arial"/>
        <family val="2"/>
      </rPr>
      <t>Direct</t>
    </r>
    <r>
      <rPr>
        <sz val="8"/>
        <rFont val="Arial"/>
        <family val="2"/>
      </rPr>
      <t>-N = N</t>
    </r>
    <r>
      <rPr>
        <vertAlign val="subscript"/>
        <sz val="8"/>
        <rFont val="Arial"/>
        <family val="2"/>
      </rPr>
      <t>2</t>
    </r>
    <r>
      <rPr>
        <sz val="8"/>
        <rFont val="Arial"/>
        <family val="2"/>
      </rPr>
      <t>O-N</t>
    </r>
    <r>
      <rPr>
        <vertAlign val="subscript"/>
        <sz val="8"/>
        <rFont val="Arial"/>
        <family val="2"/>
      </rPr>
      <t>N input</t>
    </r>
    <r>
      <rPr>
        <sz val="8"/>
        <rFont val="Arial"/>
        <family val="2"/>
      </rPr>
      <t xml:space="preserve"> + N</t>
    </r>
    <r>
      <rPr>
        <vertAlign val="subscript"/>
        <sz val="8"/>
        <rFont val="Arial"/>
        <family val="2"/>
      </rPr>
      <t>2</t>
    </r>
    <r>
      <rPr>
        <sz val="8"/>
        <rFont val="Arial"/>
        <family val="2"/>
      </rPr>
      <t>O-N</t>
    </r>
    <r>
      <rPr>
        <vertAlign val="subscript"/>
        <sz val="8"/>
        <rFont val="Arial"/>
        <family val="2"/>
      </rPr>
      <t>OS</t>
    </r>
    <r>
      <rPr>
        <sz val="8"/>
        <rFont val="Arial"/>
        <family val="2"/>
      </rPr>
      <t xml:space="preserve"> + N</t>
    </r>
    <r>
      <rPr>
        <vertAlign val="subscript"/>
        <sz val="8"/>
        <rFont val="Arial"/>
        <family val="2"/>
      </rPr>
      <t>2</t>
    </r>
    <r>
      <rPr>
        <sz val="8"/>
        <rFont val="Arial"/>
        <family val="2"/>
      </rPr>
      <t>O-N</t>
    </r>
    <r>
      <rPr>
        <vertAlign val="subscript"/>
        <sz val="8"/>
        <rFont val="Arial"/>
        <family val="2"/>
      </rPr>
      <t>PRP</t>
    </r>
  </si>
  <si>
    <r>
      <t>F</t>
    </r>
    <r>
      <rPr>
        <b/>
        <vertAlign val="subscript"/>
        <sz val="8"/>
        <rFont val="Arial"/>
        <family val="2"/>
      </rPr>
      <t>OS</t>
    </r>
  </si>
  <si>
    <r>
      <t>EF</t>
    </r>
    <r>
      <rPr>
        <b/>
        <vertAlign val="subscript"/>
        <sz val="8"/>
        <rFont val="Arial"/>
        <family val="2"/>
      </rPr>
      <t>2</t>
    </r>
  </si>
  <si>
    <r>
      <t>N</t>
    </r>
    <r>
      <rPr>
        <b/>
        <vertAlign val="subscript"/>
        <sz val="8"/>
        <rFont val="Arial"/>
        <family val="2"/>
      </rPr>
      <t>2</t>
    </r>
    <r>
      <rPr>
        <b/>
        <sz val="8"/>
        <rFont val="Arial"/>
        <family val="2"/>
      </rPr>
      <t>O-N</t>
    </r>
    <r>
      <rPr>
        <b/>
        <vertAlign val="subscript"/>
        <sz val="8"/>
        <rFont val="Arial"/>
        <family val="2"/>
      </rPr>
      <t>OS</t>
    </r>
  </si>
  <si>
    <r>
      <t>F</t>
    </r>
    <r>
      <rPr>
        <b/>
        <vertAlign val="subscript"/>
        <sz val="8"/>
        <rFont val="Arial"/>
        <family val="2"/>
      </rPr>
      <t>PRP</t>
    </r>
  </si>
  <si>
    <r>
      <t>EF</t>
    </r>
    <r>
      <rPr>
        <b/>
        <vertAlign val="subscript"/>
        <sz val="8"/>
        <rFont val="Arial"/>
        <family val="2"/>
      </rPr>
      <t>3PRP</t>
    </r>
  </si>
  <si>
    <r>
      <t>N</t>
    </r>
    <r>
      <rPr>
        <b/>
        <vertAlign val="subscript"/>
        <sz val="8"/>
        <rFont val="Arial"/>
        <family val="2"/>
      </rPr>
      <t>2</t>
    </r>
    <r>
      <rPr>
        <b/>
        <sz val="8"/>
        <rFont val="Arial"/>
        <family val="2"/>
      </rPr>
      <t>O-N</t>
    </r>
    <r>
      <rPr>
        <b/>
        <vertAlign val="subscript"/>
        <sz val="8"/>
        <rFont val="Arial"/>
        <family val="2"/>
      </rPr>
      <t>PRP</t>
    </r>
  </si>
  <si>
    <r>
      <t>N</t>
    </r>
    <r>
      <rPr>
        <b/>
        <vertAlign val="subscript"/>
        <sz val="8"/>
        <rFont val="Arial"/>
        <family val="2"/>
      </rPr>
      <t>2</t>
    </r>
    <r>
      <rPr>
        <b/>
        <sz val="8"/>
        <rFont val="Arial"/>
        <family val="2"/>
      </rPr>
      <t>O</t>
    </r>
    <r>
      <rPr>
        <b/>
        <vertAlign val="subscript"/>
        <sz val="8"/>
        <rFont val="Arial"/>
        <family val="2"/>
      </rPr>
      <t>Direct</t>
    </r>
    <r>
      <rPr>
        <b/>
        <sz val="8"/>
        <rFont val="Arial"/>
        <family val="2"/>
      </rPr>
      <t>-N</t>
    </r>
  </si>
  <si>
    <t>CG, Temp</t>
  </si>
  <si>
    <t>CG, Trop</t>
  </si>
  <si>
    <t>F, Temp, NR</t>
  </si>
  <si>
    <t>F, Temp, NP</t>
  </si>
  <si>
    <t>F, Trop</t>
  </si>
  <si>
    <t>CPP</t>
  </si>
  <si>
    <t>SO</t>
  </si>
  <si>
    <t>3C5</t>
  </si>
  <si>
    <r>
      <t>F</t>
    </r>
    <r>
      <rPr>
        <b/>
        <vertAlign val="subscript"/>
        <sz val="9"/>
        <rFont val="Arial"/>
        <family val="2"/>
      </rPr>
      <t>SN</t>
    </r>
  </si>
  <si>
    <r>
      <t>F</t>
    </r>
    <r>
      <rPr>
        <b/>
        <vertAlign val="subscript"/>
        <sz val="9"/>
        <rFont val="Arial"/>
        <family val="2"/>
      </rPr>
      <t>ON</t>
    </r>
  </si>
  <si>
    <r>
      <t>F</t>
    </r>
    <r>
      <rPr>
        <b/>
        <vertAlign val="subscript"/>
        <sz val="9"/>
        <rFont val="Arial"/>
        <family val="2"/>
      </rPr>
      <t>PRP</t>
    </r>
  </si>
  <si>
    <r>
      <t>[kg N (kg of N additions)</t>
    </r>
    <r>
      <rPr>
        <vertAlign val="superscript"/>
        <sz val="9"/>
        <rFont val="Arial"/>
        <family val="2"/>
      </rPr>
      <t>-1</t>
    </r>
    <r>
      <rPr>
        <sz val="9"/>
        <rFont val="Arial"/>
        <family val="2"/>
      </rPr>
      <t>]</t>
    </r>
  </si>
  <si>
    <r>
      <t>(kg N</t>
    </r>
    <r>
      <rPr>
        <vertAlign val="subscript"/>
        <sz val="9"/>
        <rFont val="Arial"/>
        <family val="2"/>
      </rPr>
      <t>2</t>
    </r>
    <r>
      <rPr>
        <sz val="9"/>
        <rFont val="Arial"/>
        <family val="2"/>
      </rPr>
      <t>O-N yr</t>
    </r>
    <r>
      <rPr>
        <vertAlign val="superscript"/>
        <sz val="9"/>
        <rFont val="Arial"/>
        <family val="2"/>
      </rPr>
      <t>-1</t>
    </r>
    <r>
      <rPr>
        <sz val="9"/>
        <rFont val="Arial"/>
        <family val="2"/>
      </rPr>
      <t>)</t>
    </r>
  </si>
  <si>
    <t>(kg N leaching and</t>
  </si>
  <si>
    <r>
      <t xml:space="preserve"> runoff)</t>
    </r>
    <r>
      <rPr>
        <vertAlign val="superscript"/>
        <sz val="9"/>
        <rFont val="Arial"/>
        <family val="2"/>
      </rPr>
      <t>-1</t>
    </r>
    <r>
      <rPr>
        <sz val="9"/>
        <rFont val="Arial"/>
        <family val="2"/>
      </rPr>
      <t>]</t>
    </r>
  </si>
  <si>
    <r>
      <t>N</t>
    </r>
    <r>
      <rPr>
        <vertAlign val="subscript"/>
        <sz val="9"/>
        <rFont val="Arial"/>
        <family val="2"/>
      </rPr>
      <t>2</t>
    </r>
    <r>
      <rPr>
        <sz val="9"/>
        <rFont val="Arial"/>
        <family val="2"/>
      </rPr>
      <t>O</t>
    </r>
    <r>
      <rPr>
        <vertAlign val="subscript"/>
        <sz val="9"/>
        <rFont val="Arial"/>
        <family val="2"/>
      </rPr>
      <t>(L)</t>
    </r>
    <r>
      <rPr>
        <sz val="9"/>
        <rFont val="Arial"/>
        <family val="2"/>
      </rPr>
      <t>-N = (F</t>
    </r>
    <r>
      <rPr>
        <vertAlign val="subscript"/>
        <sz val="9"/>
        <rFont val="Arial"/>
        <family val="2"/>
      </rPr>
      <t>SN</t>
    </r>
    <r>
      <rPr>
        <sz val="9"/>
        <rFont val="Arial"/>
        <family val="2"/>
      </rPr>
      <t xml:space="preserve"> + F</t>
    </r>
    <r>
      <rPr>
        <vertAlign val="subscript"/>
        <sz val="9"/>
        <rFont val="Arial"/>
        <family val="2"/>
      </rPr>
      <t>ON</t>
    </r>
    <r>
      <rPr>
        <sz val="9"/>
        <rFont val="Arial"/>
        <family val="2"/>
      </rPr>
      <t xml:space="preserve"> + F</t>
    </r>
    <r>
      <rPr>
        <vertAlign val="subscript"/>
        <sz val="9"/>
        <rFont val="Arial"/>
        <family val="2"/>
      </rPr>
      <t>PRP</t>
    </r>
    <r>
      <rPr>
        <sz val="9"/>
        <rFont val="Arial"/>
        <family val="2"/>
      </rPr>
      <t xml:space="preserve"> + F</t>
    </r>
    <r>
      <rPr>
        <vertAlign val="subscript"/>
        <sz val="9"/>
        <rFont val="Arial"/>
        <family val="2"/>
      </rPr>
      <t>CR</t>
    </r>
    <r>
      <rPr>
        <sz val="9"/>
        <rFont val="Arial"/>
        <family val="2"/>
      </rPr>
      <t xml:space="preserve"> + F</t>
    </r>
    <r>
      <rPr>
        <vertAlign val="subscript"/>
        <sz val="9"/>
        <rFont val="Arial"/>
        <family val="2"/>
      </rPr>
      <t>SOM</t>
    </r>
    <r>
      <rPr>
        <sz val="9"/>
        <rFont val="Arial"/>
        <family val="2"/>
      </rPr>
      <t>) * Frac</t>
    </r>
    <r>
      <rPr>
        <vertAlign val="subscript"/>
        <sz val="9"/>
        <rFont val="Arial"/>
        <family val="2"/>
      </rPr>
      <t xml:space="preserve">LEACH-(H) </t>
    </r>
    <r>
      <rPr>
        <sz val="9"/>
        <rFont val="Arial"/>
        <family val="2"/>
      </rPr>
      <t>* EF</t>
    </r>
    <r>
      <rPr>
        <vertAlign val="subscript"/>
        <sz val="9"/>
        <rFont val="Arial"/>
        <family val="2"/>
      </rPr>
      <t>5</t>
    </r>
  </si>
  <si>
    <r>
      <t>F</t>
    </r>
    <r>
      <rPr>
        <b/>
        <vertAlign val="subscript"/>
        <sz val="9"/>
        <rFont val="Arial"/>
        <family val="2"/>
      </rPr>
      <t>CR</t>
    </r>
  </si>
  <si>
    <r>
      <t>F</t>
    </r>
    <r>
      <rPr>
        <b/>
        <vertAlign val="subscript"/>
        <sz val="9"/>
        <rFont val="Arial"/>
        <family val="2"/>
      </rPr>
      <t>SOM</t>
    </r>
  </si>
  <si>
    <r>
      <t>Frac</t>
    </r>
    <r>
      <rPr>
        <b/>
        <vertAlign val="subscript"/>
        <sz val="9"/>
        <rFont val="Arial"/>
        <family val="2"/>
      </rPr>
      <t>LEACH-(H)</t>
    </r>
  </si>
  <si>
    <r>
      <t>EF</t>
    </r>
    <r>
      <rPr>
        <b/>
        <vertAlign val="subscript"/>
        <sz val="9"/>
        <rFont val="Arial"/>
        <family val="2"/>
      </rPr>
      <t>5</t>
    </r>
  </si>
  <si>
    <r>
      <t>N</t>
    </r>
    <r>
      <rPr>
        <b/>
        <vertAlign val="subscript"/>
        <sz val="9"/>
        <rFont val="Arial"/>
        <family val="2"/>
      </rPr>
      <t>2</t>
    </r>
    <r>
      <rPr>
        <b/>
        <sz val="9"/>
        <rFont val="Arial"/>
        <family val="2"/>
      </rPr>
      <t>O</t>
    </r>
    <r>
      <rPr>
        <b/>
        <vertAlign val="subscript"/>
        <sz val="9"/>
        <rFont val="Arial"/>
        <family val="2"/>
      </rPr>
      <t>(L)</t>
    </r>
    <r>
      <rPr>
        <b/>
        <sz val="9"/>
        <rFont val="Arial"/>
        <family val="2"/>
      </rPr>
      <t>-N</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</si>
  <si>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t>
    </r>
    <r>
      <rPr>
        <vertAlign val="superscript"/>
        <sz val="8"/>
        <rFont val="Arial"/>
        <family val="2"/>
      </rPr>
      <t>-1</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</si>
  <si>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 or deposited)</t>
    </r>
    <r>
      <rPr>
        <vertAlign val="superscript"/>
        <sz val="8"/>
        <rFont val="Arial"/>
        <family val="2"/>
      </rPr>
      <t>-1</t>
    </r>
  </si>
  <si>
    <r>
      <t>(kg N</t>
    </r>
    <r>
      <rPr>
        <vertAlign val="subscript"/>
        <sz val="8"/>
        <rFont val="Arial"/>
        <family val="2"/>
      </rPr>
      <t>2</t>
    </r>
    <r>
      <rPr>
        <sz val="8"/>
        <rFont val="Arial"/>
        <family val="2"/>
      </rPr>
      <t>O-N) (kg NH</t>
    </r>
    <r>
      <rPr>
        <vertAlign val="subscript"/>
        <sz val="8"/>
        <rFont val="Arial"/>
        <family val="2"/>
      </rPr>
      <t>3</t>
    </r>
    <r>
      <rPr>
        <sz val="8"/>
        <rFont val="Arial"/>
        <family val="2"/>
      </rPr>
      <t>-N + NO</t>
    </r>
    <r>
      <rPr>
        <vertAlign val="subscript"/>
        <sz val="8"/>
        <rFont val="Arial"/>
        <family val="2"/>
      </rPr>
      <t>x</t>
    </r>
    <r>
      <rPr>
        <sz val="8"/>
        <rFont val="Arial"/>
        <family val="2"/>
      </rPr>
      <t>-N volatilized)</t>
    </r>
    <r>
      <rPr>
        <vertAlign val="superscript"/>
        <sz val="8"/>
        <rFont val="Arial"/>
        <family val="2"/>
      </rPr>
      <t>-1</t>
    </r>
  </si>
  <si>
    <r>
      <t>N</t>
    </r>
    <r>
      <rPr>
        <vertAlign val="subscript"/>
        <sz val="8"/>
        <rFont val="Arial"/>
        <family val="2"/>
      </rPr>
      <t>2</t>
    </r>
    <r>
      <rPr>
        <sz val="8"/>
        <rFont val="Arial"/>
        <family val="2"/>
      </rPr>
      <t>O</t>
    </r>
    <r>
      <rPr>
        <vertAlign val="subscript"/>
        <sz val="8"/>
        <rFont val="Arial"/>
        <family val="2"/>
      </rPr>
      <t>(ATD)</t>
    </r>
    <r>
      <rPr>
        <sz val="8"/>
        <rFont val="Arial"/>
        <family val="2"/>
      </rPr>
      <t>-N  =  [(F</t>
    </r>
    <r>
      <rPr>
        <vertAlign val="subscript"/>
        <sz val="8"/>
        <rFont val="Arial"/>
        <family val="2"/>
      </rPr>
      <t>SN</t>
    </r>
    <r>
      <rPr>
        <sz val="8"/>
        <rFont val="Arial"/>
        <family val="2"/>
      </rPr>
      <t xml:space="preserve">  *  Frac</t>
    </r>
    <r>
      <rPr>
        <vertAlign val="subscript"/>
        <sz val="8"/>
        <rFont val="Arial"/>
        <family val="2"/>
      </rPr>
      <t>GASF</t>
    </r>
    <r>
      <rPr>
        <sz val="8"/>
        <rFont val="Arial"/>
        <family val="2"/>
      </rPr>
      <t xml:space="preserve"> )  +  (F</t>
    </r>
    <r>
      <rPr>
        <vertAlign val="subscript"/>
        <sz val="8"/>
        <rFont val="Arial"/>
        <family val="2"/>
      </rPr>
      <t>ON</t>
    </r>
    <r>
      <rPr>
        <sz val="8"/>
        <rFont val="Arial"/>
        <family val="2"/>
      </rPr>
      <t xml:space="preserve"> + F</t>
    </r>
    <r>
      <rPr>
        <vertAlign val="subscript"/>
        <sz val="8"/>
        <rFont val="Arial"/>
        <family val="2"/>
      </rPr>
      <t>PRP</t>
    </r>
    <r>
      <rPr>
        <sz val="8"/>
        <rFont val="Arial"/>
        <family val="2"/>
      </rPr>
      <t>) * Frac</t>
    </r>
    <r>
      <rPr>
        <vertAlign val="subscript"/>
        <sz val="8"/>
        <rFont val="Arial"/>
        <family val="2"/>
      </rPr>
      <t>GASM</t>
    </r>
    <r>
      <rPr>
        <sz val="8"/>
        <rFont val="Arial"/>
        <family val="2"/>
      </rPr>
      <t>)]  *  EF</t>
    </r>
    <r>
      <rPr>
        <vertAlign val="subscript"/>
        <sz val="8"/>
        <rFont val="Arial"/>
        <family val="2"/>
      </rPr>
      <t xml:space="preserve">4 </t>
    </r>
  </si>
  <si>
    <r>
      <t>F</t>
    </r>
    <r>
      <rPr>
        <b/>
        <vertAlign val="subscript"/>
        <sz val="8"/>
        <rFont val="Arial"/>
        <family val="2"/>
      </rPr>
      <t>SN</t>
    </r>
  </si>
  <si>
    <r>
      <t>Frac</t>
    </r>
    <r>
      <rPr>
        <b/>
        <vertAlign val="subscript"/>
        <sz val="8"/>
        <rFont val="Arial"/>
        <family val="2"/>
      </rPr>
      <t>GASF</t>
    </r>
  </si>
  <si>
    <r>
      <t>F</t>
    </r>
    <r>
      <rPr>
        <b/>
        <vertAlign val="subscript"/>
        <sz val="8"/>
        <rFont val="Arial"/>
        <family val="2"/>
      </rPr>
      <t>ON</t>
    </r>
  </si>
  <si>
    <r>
      <t>Frac</t>
    </r>
    <r>
      <rPr>
        <b/>
        <vertAlign val="subscript"/>
        <sz val="8"/>
        <rFont val="Arial"/>
        <family val="2"/>
      </rPr>
      <t>GASM</t>
    </r>
  </si>
  <si>
    <r>
      <t>EF</t>
    </r>
    <r>
      <rPr>
        <b/>
        <vertAlign val="subscript"/>
        <sz val="8"/>
        <rFont val="Arial"/>
        <family val="2"/>
      </rPr>
      <t>4</t>
    </r>
  </si>
  <si>
    <r>
      <t>N</t>
    </r>
    <r>
      <rPr>
        <b/>
        <vertAlign val="subscript"/>
        <sz val="8"/>
        <rFont val="Arial"/>
        <family val="2"/>
      </rPr>
      <t>2</t>
    </r>
    <r>
      <rPr>
        <b/>
        <sz val="8"/>
        <rFont val="Arial"/>
        <family val="2"/>
      </rPr>
      <t>O</t>
    </r>
    <r>
      <rPr>
        <b/>
        <vertAlign val="subscript"/>
        <sz val="8"/>
        <rFont val="Arial"/>
        <family val="2"/>
      </rPr>
      <t>(ATD)</t>
    </r>
    <r>
      <rPr>
        <b/>
        <sz val="8"/>
        <rFont val="Arial"/>
        <family val="2"/>
      </rPr>
      <t>-N</t>
    </r>
  </si>
  <si>
    <t>Rag (t)</t>
  </si>
  <si>
    <t>Nbg(t)</t>
  </si>
  <si>
    <t>cebada</t>
  </si>
  <si>
    <t>Caña de azucar</t>
  </si>
  <si>
    <t>Yuca</t>
  </si>
  <si>
    <t>arveja</t>
  </si>
  <si>
    <t>frejol</t>
  </si>
  <si>
    <t>Haba</t>
  </si>
  <si>
    <t>Papa</t>
  </si>
  <si>
    <t>Fcr</t>
  </si>
  <si>
    <t>Produccion</t>
  </si>
  <si>
    <t>Rendimiento</t>
  </si>
  <si>
    <t>Kg/Ha</t>
  </si>
  <si>
    <r>
      <t xml:space="preserve">N </t>
    </r>
    <r>
      <rPr>
        <b/>
        <vertAlign val="subscript"/>
        <sz val="9"/>
        <rFont val="Arial"/>
        <family val="2"/>
      </rPr>
      <t>(T)</t>
    </r>
  </si>
  <si>
    <r>
      <t>EF</t>
    </r>
    <r>
      <rPr>
        <b/>
        <vertAlign val="subscript"/>
        <sz val="9"/>
        <rFont val="Arial"/>
        <family val="2"/>
      </rPr>
      <t>(T)</t>
    </r>
  </si>
  <si>
    <r>
      <t>CH</t>
    </r>
    <r>
      <rPr>
        <b/>
        <vertAlign val="subscript"/>
        <sz val="9"/>
        <rFont val="Arial"/>
        <family val="2"/>
      </rPr>
      <t>4</t>
    </r>
    <r>
      <rPr>
        <b/>
        <sz val="9"/>
        <rFont val="Arial"/>
        <family val="2"/>
      </rPr>
      <t xml:space="preserve"> </t>
    </r>
    <r>
      <rPr>
        <b/>
        <vertAlign val="subscript"/>
        <sz val="9"/>
        <rFont val="Arial"/>
        <family val="2"/>
      </rPr>
      <t>Enteric</t>
    </r>
  </si>
  <si>
    <r>
      <t>CH</t>
    </r>
    <r>
      <rPr>
        <b/>
        <vertAlign val="subscript"/>
        <sz val="9"/>
        <rFont val="Arial"/>
        <family val="2"/>
      </rPr>
      <t>4</t>
    </r>
    <r>
      <rPr>
        <b/>
        <sz val="9"/>
        <rFont val="Arial"/>
        <family val="2"/>
      </rPr>
      <t xml:space="preserve"> </t>
    </r>
    <r>
      <rPr>
        <b/>
        <vertAlign val="subscript"/>
        <sz val="9"/>
        <rFont val="Arial"/>
        <family val="2"/>
      </rPr>
      <t>Manure</t>
    </r>
  </si>
  <si>
    <t>3C7</t>
  </si>
  <si>
    <t>Eq. 2.2</t>
  </si>
  <si>
    <r>
      <t>(ha yr</t>
    </r>
    <r>
      <rPr>
        <vertAlign val="superscript"/>
        <sz val="9"/>
        <rFont val="Arial"/>
        <family val="2"/>
      </rPr>
      <t>-1</t>
    </r>
    <r>
      <rPr>
        <sz val="9"/>
        <rFont val="Arial"/>
        <family val="2"/>
      </rPr>
      <t>)</t>
    </r>
  </si>
  <si>
    <t>(day)</t>
  </si>
  <si>
    <r>
      <t>kg CH</t>
    </r>
    <r>
      <rPr>
        <vertAlign val="subscript"/>
        <sz val="8"/>
        <rFont val="Arial"/>
        <family val="2"/>
      </rPr>
      <t>4</t>
    </r>
    <r>
      <rPr>
        <sz val="8"/>
        <rFont val="Arial"/>
        <family val="2"/>
      </rPr>
      <t xml:space="preserve"> ha</t>
    </r>
    <r>
      <rPr>
        <vertAlign val="superscript"/>
        <sz val="8"/>
        <rFont val="Arial"/>
        <family val="2"/>
      </rPr>
      <t>-1</t>
    </r>
    <r>
      <rPr>
        <sz val="8"/>
        <rFont val="Arial"/>
        <family val="2"/>
      </rPr>
      <t xml:space="preserve"> day</t>
    </r>
    <r>
      <rPr>
        <vertAlign val="superscript"/>
        <sz val="8"/>
        <rFont val="Arial"/>
        <family val="2"/>
      </rPr>
      <t>-1</t>
    </r>
  </si>
  <si>
    <r>
      <t>(tonnes ha</t>
    </r>
    <r>
      <rPr>
        <vertAlign val="superscript"/>
        <sz val="9"/>
        <rFont val="Arial"/>
        <family val="2"/>
      </rPr>
      <t>-1</t>
    </r>
    <r>
      <rPr>
        <sz val="9"/>
        <rFont val="Arial"/>
        <family val="2"/>
      </rPr>
      <t>)</t>
    </r>
  </si>
  <si>
    <r>
      <t>SF</t>
    </r>
    <r>
      <rPr>
        <vertAlign val="subscript"/>
        <sz val="9"/>
        <rFont val="Arial"/>
        <family val="2"/>
      </rPr>
      <t>o</t>
    </r>
    <r>
      <rPr>
        <sz val="9"/>
        <rFont val="Arial"/>
        <family val="2"/>
      </rPr>
      <t xml:space="preserve"> =</t>
    </r>
  </si>
  <si>
    <t>t</t>
  </si>
  <si>
    <r>
      <t>EF</t>
    </r>
    <r>
      <rPr>
        <b/>
        <vertAlign val="subscript"/>
        <sz val="9"/>
        <rFont val="Arial"/>
        <family val="2"/>
      </rPr>
      <t>c</t>
    </r>
  </si>
  <si>
    <r>
      <t>SF</t>
    </r>
    <r>
      <rPr>
        <b/>
        <vertAlign val="subscript"/>
        <sz val="9"/>
        <rFont val="Arial"/>
        <family val="2"/>
      </rPr>
      <t>W</t>
    </r>
  </si>
  <si>
    <r>
      <t>SF</t>
    </r>
    <r>
      <rPr>
        <b/>
        <vertAlign val="subscript"/>
        <sz val="9"/>
        <rFont val="Arial"/>
        <family val="2"/>
      </rPr>
      <t>p</t>
    </r>
  </si>
  <si>
    <r>
      <t>CFOA</t>
    </r>
    <r>
      <rPr>
        <b/>
        <vertAlign val="subscript"/>
        <sz val="9"/>
        <rFont val="Arial"/>
        <family val="2"/>
      </rPr>
      <t>i</t>
    </r>
  </si>
  <si>
    <r>
      <t>SF</t>
    </r>
    <r>
      <rPr>
        <b/>
        <vertAlign val="subscript"/>
        <sz val="9"/>
        <rFont val="Arial"/>
        <family val="2"/>
      </rPr>
      <t>o</t>
    </r>
  </si>
  <si>
    <t>Sub-total</t>
  </si>
  <si>
    <r>
      <t>CH</t>
    </r>
    <r>
      <rPr>
        <b/>
        <vertAlign val="subscript"/>
        <sz val="9"/>
        <rFont val="Arial"/>
        <family val="2"/>
      </rPr>
      <t>4Rice</t>
    </r>
  </si>
  <si>
    <r>
      <t>EF</t>
    </r>
    <r>
      <rPr>
        <b/>
        <vertAlign val="subscript"/>
        <sz val="9"/>
        <rFont val="Arial"/>
        <family val="2"/>
      </rPr>
      <t>i</t>
    </r>
  </si>
  <si>
    <r>
      <t>CH</t>
    </r>
    <r>
      <rPr>
        <vertAlign val="subscript"/>
        <sz val="9"/>
        <rFont val="Arial"/>
        <family val="2"/>
      </rPr>
      <t>4Rice</t>
    </r>
    <r>
      <rPr>
        <sz val="9"/>
        <rFont val="Arial"/>
        <family val="2"/>
      </rPr>
      <t xml:space="preserve"> = A * t * EF</t>
    </r>
    <r>
      <rPr>
        <vertAlign val="subscript"/>
        <sz val="9"/>
        <rFont val="Arial"/>
        <family val="2"/>
      </rPr>
      <t>i</t>
    </r>
    <r>
      <rPr>
        <sz val="9"/>
        <rFont val="Arial"/>
        <family val="2"/>
      </rPr>
      <t xml:space="preserve"> * 10</t>
    </r>
    <r>
      <rPr>
        <vertAlign val="superscript"/>
        <sz val="9"/>
        <rFont val="Arial"/>
        <family val="2"/>
      </rPr>
      <t>-6</t>
    </r>
  </si>
  <si>
    <r>
      <t>EF</t>
    </r>
    <r>
      <rPr>
        <vertAlign val="subscript"/>
        <sz val="9"/>
        <rFont val="Arial"/>
        <family val="2"/>
      </rPr>
      <t>i</t>
    </r>
    <r>
      <rPr>
        <sz val="9"/>
        <rFont val="Arial"/>
        <family val="2"/>
      </rPr>
      <t xml:space="preserve"> = EF</t>
    </r>
    <r>
      <rPr>
        <vertAlign val="subscript"/>
        <sz val="9"/>
        <rFont val="Arial"/>
        <family val="2"/>
      </rPr>
      <t>c</t>
    </r>
    <r>
      <rPr>
        <sz val="9"/>
        <rFont val="Arial"/>
        <family val="2"/>
      </rPr>
      <t xml:space="preserve"> * SF</t>
    </r>
    <r>
      <rPr>
        <vertAlign val="subscript"/>
        <sz val="9"/>
        <rFont val="Arial"/>
        <family val="2"/>
      </rPr>
      <t>w</t>
    </r>
    <r>
      <rPr>
        <sz val="9"/>
        <rFont val="Arial"/>
        <family val="2"/>
      </rPr>
      <t xml:space="preserve"> * SF</t>
    </r>
    <r>
      <rPr>
        <vertAlign val="subscript"/>
        <sz val="9"/>
        <rFont val="Arial"/>
        <family val="2"/>
      </rPr>
      <t>p</t>
    </r>
    <r>
      <rPr>
        <sz val="9"/>
        <rFont val="Arial"/>
        <family val="2"/>
      </rPr>
      <t xml:space="preserve"> * SF</t>
    </r>
    <r>
      <rPr>
        <vertAlign val="subscript"/>
        <sz val="9"/>
        <rFont val="Arial"/>
        <family val="2"/>
      </rPr>
      <t>o</t>
    </r>
    <r>
      <rPr>
        <sz val="9"/>
        <rFont val="Arial"/>
        <family val="2"/>
      </rPr>
      <t xml:space="preserve"> * SF</t>
    </r>
    <r>
      <rPr>
        <vertAlign val="subscript"/>
        <sz val="9"/>
        <rFont val="Arial"/>
        <family val="2"/>
      </rPr>
      <t>s,r</t>
    </r>
  </si>
  <si>
    <r>
      <t>Gg CH</t>
    </r>
    <r>
      <rPr>
        <vertAlign val="subscript"/>
        <sz val="9"/>
        <rFont val="Arial"/>
        <family val="2"/>
      </rPr>
      <t>4</t>
    </r>
    <r>
      <rPr>
        <sz val="9"/>
        <rFont val="Arial"/>
        <family val="2"/>
      </rPr>
      <t xml:space="preserve"> yr</t>
    </r>
    <r>
      <rPr>
        <vertAlign val="superscript"/>
        <sz val="9"/>
        <rFont val="Arial"/>
        <family val="2"/>
      </rPr>
      <t>-1</t>
    </r>
  </si>
  <si>
    <r>
      <t>(kg CH</t>
    </r>
    <r>
      <rPr>
        <vertAlign val="subscript"/>
        <sz val="9"/>
        <rFont val="Arial"/>
        <family val="2"/>
      </rPr>
      <t>4</t>
    </r>
    <r>
      <rPr>
        <sz val="9"/>
        <rFont val="Arial"/>
        <family val="2"/>
      </rPr>
      <t xml:space="preserve"> ha</t>
    </r>
    <r>
      <rPr>
        <vertAlign val="superscript"/>
        <sz val="9"/>
        <rFont val="Arial"/>
        <family val="2"/>
      </rPr>
      <t>-1</t>
    </r>
    <r>
      <rPr>
        <sz val="9"/>
        <rFont val="Arial"/>
        <family val="2"/>
      </rPr>
      <t xml:space="preserve"> day</t>
    </r>
    <r>
      <rPr>
        <vertAlign val="superscript"/>
        <sz val="9"/>
        <rFont val="Arial"/>
        <family val="2"/>
      </rPr>
      <t>-1</t>
    </r>
    <r>
      <rPr>
        <sz val="9"/>
        <rFont val="Arial"/>
        <family val="2"/>
      </rPr>
      <t>)</t>
    </r>
  </si>
  <si>
    <t>CULTIVO</t>
  </si>
  <si>
    <r>
      <t xml:space="preserve">cantidad de N en la biomasa de los  esiduos aéreos y subterráneos                    </t>
    </r>
    <r>
      <rPr>
        <b/>
        <sz val="8"/>
        <color indexed="8"/>
        <rFont val="Liberation Sans"/>
        <family val="2"/>
      </rPr>
      <t xml:space="preserve">      Fcr</t>
    </r>
  </si>
  <si>
    <r>
      <t xml:space="preserve">Factor de emisión para emisiones de N2O procedentes de aportes de N                </t>
    </r>
    <r>
      <rPr>
        <b/>
        <sz val="8"/>
        <color indexed="8"/>
        <rFont val="Liberation Sans"/>
        <family val="2"/>
      </rPr>
      <t xml:space="preserve">EF1 </t>
    </r>
  </si>
  <si>
    <t>Emisiones directas (N2O)</t>
  </si>
  <si>
    <t>GWP</t>
  </si>
  <si>
    <t>Emisiones directas (CO2eq)</t>
  </si>
  <si>
    <t>Fracción de N procedente de residuos agrícolas que se filtra como NH3 y NOxm</t>
  </si>
  <si>
    <t>Factor de emisión para emisiones de N2O procedentes de la lixiviación y escorrentía de N,</t>
  </si>
  <si>
    <t>Emisiones indirectas (N2O)</t>
  </si>
  <si>
    <t>Emisiones indirectas (CO2eq)</t>
  </si>
  <si>
    <t>Emisiones (N2O)</t>
  </si>
  <si>
    <t>Emissions (CO2eq)</t>
  </si>
  <si>
    <t>kg N año-1</t>
  </si>
  <si>
    <t>kg N2O–N/kg</t>
  </si>
  <si>
    <t>FracLeach</t>
  </si>
  <si>
    <t>EF5</t>
  </si>
  <si>
    <t>Gg N2O año-1</t>
  </si>
  <si>
    <t>Gg CO2eq año-1</t>
  </si>
  <si>
    <t>TM</t>
  </si>
  <si>
    <t>Superficie anual quemada del cultivo T, ha año-1</t>
  </si>
  <si>
    <t>Mb x Cf, masa de combustible disponible x factor de combustión (toneladas materia seca ha-1) (Tabla 52A)</t>
  </si>
  <si>
    <t>AreaBurned(T)</t>
  </si>
  <si>
    <t>Fuel(T)</t>
  </si>
  <si>
    <t>Biomasa quemada para el cultivo T, toneladas de materia seca año-1</t>
  </si>
  <si>
    <t>BB(T)</t>
  </si>
  <si>
    <t>Factor de emisión de g/kg de materia seca quemada (Tabla 53A)</t>
  </si>
  <si>
    <t>Gef(N2O)</t>
  </si>
  <si>
    <t>Gef(CH4)</t>
  </si>
  <si>
    <t>Emisiones N2O</t>
  </si>
  <si>
    <t>Emisiones CH4</t>
  </si>
  <si>
    <t>potencial de calentamiento global en un horizonte de 100 años), para convertir Gg N2O a Gg</t>
  </si>
  <si>
    <t>potencial de calentamiento global en un horizonte de 100 años), para convertir Gg CH4 a Gg</t>
  </si>
  <si>
    <t>GWP(N2O)</t>
  </si>
  <si>
    <t>GWP(CH4)</t>
  </si>
  <si>
    <t>Emisiones (CO2eq)</t>
  </si>
  <si>
    <t>COMBUSTIÓN DE RESIDUOS AGRÍCOLAS</t>
  </si>
  <si>
    <t>RESIDUOS AGRÍCOLAS</t>
  </si>
  <si>
    <t>3C2</t>
  </si>
  <si>
    <t xml:space="preserve">Dias en produccion </t>
  </si>
  <si>
    <t># hornos domesticos 2014</t>
  </si>
  <si>
    <t>Porcentaje de Dolomita en agricultura</t>
  </si>
  <si>
    <t>Uso de cal dolomita (Tons)</t>
  </si>
  <si>
    <t>Gg</t>
  </si>
  <si>
    <t>ESTADISTICAS 2014 AJUSTADO</t>
  </si>
  <si>
    <t>SUPERFICIE (Has.)</t>
  </si>
  <si>
    <t>PRODUCCIÓN 
(Tm.)</t>
  </si>
  <si>
    <t>VENTAS 
(Tm.)</t>
  </si>
  <si>
    <t>Sembrada</t>
  </si>
  <si>
    <t>Cosechada</t>
  </si>
  <si>
    <t>2014 (a)</t>
  </si>
  <si>
    <t>2014(a)</t>
  </si>
  <si>
    <t>NO FIJADORES DE NITROGENO</t>
  </si>
  <si>
    <t>Producción</t>
  </si>
  <si>
    <t>Superficie sembrada</t>
  </si>
  <si>
    <t>ARROZ (En cáscara)</t>
  </si>
  <si>
    <t>CEBADA</t>
  </si>
  <si>
    <t>MAÍZ DURO CHOCLO (En choclo)</t>
  </si>
  <si>
    <t>MAÍZ DURO SECO (Grano seco)</t>
  </si>
  <si>
    <t>MAÍZ SUAVE CHOCLO (En choclo)</t>
  </si>
  <si>
    <t>MAÍZ SUAVE SECO (Grano seco)</t>
  </si>
  <si>
    <t>PAPA (Tubérculo fresco)</t>
  </si>
  <si>
    <t>TOMATE RINÓN (Fruta fresca)</t>
  </si>
  <si>
    <t>TRIGO (Grano seco)</t>
  </si>
  <si>
    <t>YUCA (Raíz seca)</t>
  </si>
  <si>
    <t>FIJADORES DE NITROGENO</t>
  </si>
  <si>
    <t>ARVEJA SECA (Grano seco)</t>
  </si>
  <si>
    <t>ARVEJA TIERNA (En vaina)</t>
  </si>
  <si>
    <t>FRÉJOL SECO (Grano seco)</t>
  </si>
  <si>
    <t>FRÉJOL TIERNO (En vaina)</t>
  </si>
  <si>
    <t>HABA SECA (Grano seco)</t>
  </si>
  <si>
    <t>HABA TIERNA (En vaina)</t>
  </si>
  <si>
    <t>CAÑA DE AZÚCAR PARA AZÚCAR (Fruta fresca)</t>
  </si>
  <si>
    <t>INGEI 2014 (MET. 96)</t>
  </si>
  <si>
    <t>Fecha de la última actualización:</t>
  </si>
  <si>
    <t>Nombre:</t>
  </si>
  <si>
    <t>Unidad del MAE:</t>
  </si>
  <si>
    <t>Tel Institucional:</t>
  </si>
  <si>
    <t>5933987600   etx. 1314</t>
  </si>
  <si>
    <t>e-mail:</t>
  </si>
  <si>
    <t>Proveedores de Información /Datos de Contacto</t>
  </si>
  <si>
    <t>No</t>
  </si>
  <si>
    <t>Organización</t>
  </si>
  <si>
    <t>Contacto</t>
  </si>
  <si>
    <t>Información Contacto</t>
  </si>
  <si>
    <t>Observaciones</t>
  </si>
  <si>
    <t>Nombre de la organización</t>
  </si>
  <si>
    <t>Tipo</t>
  </si>
  <si>
    <t>Rol</t>
  </si>
  <si>
    <t>Cargo</t>
  </si>
  <si>
    <t>Nombres</t>
  </si>
  <si>
    <t>Telefono 1</t>
  </si>
  <si>
    <t>Ext.1</t>
  </si>
  <si>
    <t>mail</t>
  </si>
  <si>
    <t>Agricultura</t>
  </si>
  <si>
    <t>Instituto Nacional de Estadística y Censos (INEC)</t>
  </si>
  <si>
    <t>Nacional</t>
  </si>
  <si>
    <t>02-2544326</t>
  </si>
  <si>
    <t>armando_salazar@inec.gob.ec</t>
  </si>
  <si>
    <t>02-3960100</t>
  </si>
  <si>
    <t>rgaethe@magap.gob.ec</t>
  </si>
  <si>
    <t>Roberto Daniel Lucero Romero</t>
  </si>
  <si>
    <t>roberto.lucero@ambiente.gob.ec</t>
  </si>
  <si>
    <t>Tabla para recopilación de información sector agricultura</t>
  </si>
  <si>
    <t>Ecuador</t>
  </si>
  <si>
    <t>GANADO DOMÉSTICO</t>
  </si>
  <si>
    <t>Número de Animales (Total nacional por año de inventario)</t>
  </si>
  <si>
    <t>CULTIVO DEL ARROZ</t>
  </si>
  <si>
    <t>SUELOS AGRÍCOLAS</t>
  </si>
  <si>
    <t>Cultivos no Fijadores de Nitrógeno  (Total nacional por año de inventario)</t>
  </si>
  <si>
    <t>Fracción materia seca (%)</t>
  </si>
  <si>
    <t>Producción (t)</t>
  </si>
  <si>
    <t>Producción Kg. Materia Seca (C*E*1000)</t>
  </si>
  <si>
    <t>Arroz Seco Solo</t>
  </si>
  <si>
    <t>Arroz Seco Asociado</t>
  </si>
  <si>
    <t>Cebada Grano  Seco Solo</t>
  </si>
  <si>
    <t>Cebada Grano  Seco Asociado</t>
  </si>
  <si>
    <t>Maíz Duro  Seco Solo</t>
  </si>
  <si>
    <t>Maíz Duro  Seco Asociado</t>
  </si>
  <si>
    <t>Maíz Duro  Tierno Solo</t>
  </si>
  <si>
    <t>Maíz Duro  Tierno Asociado</t>
  </si>
  <si>
    <t>Maíz Suave  Seco Solo</t>
  </si>
  <si>
    <t>Maíz Suave  Seco Asociado</t>
  </si>
  <si>
    <t>Maíz Suave  Tierno Solo</t>
  </si>
  <si>
    <t>Maíz Suave  Tierno Asociado</t>
  </si>
  <si>
    <t>Papa Tierno Solo</t>
  </si>
  <si>
    <t>Papa Tierno Asociado</t>
  </si>
  <si>
    <t>Tomate Riñón Tierno Solo</t>
  </si>
  <si>
    <t>Tomate Riñón Tierno Asociado</t>
  </si>
  <si>
    <t>Trigo  Seco Solo</t>
  </si>
  <si>
    <t>Trigo  Seco Asociado</t>
  </si>
  <si>
    <t>Yuca Tierno Solo</t>
  </si>
  <si>
    <t>Yuca Tierno Asociado</t>
  </si>
  <si>
    <t>Cultivos Fijadores de Nitrógeno  (Total nacional por año de inventario)</t>
  </si>
  <si>
    <t>Producción Kg. Materia Seca (C*I*1000)</t>
  </si>
  <si>
    <t>Producción Kg. Materia Seca (C*M*1000)</t>
  </si>
  <si>
    <t>Producción Kg. Materia Seca (C*Q*1000)</t>
  </si>
  <si>
    <t>Producción Kg. Materia Seca (C*U*1000)</t>
  </si>
  <si>
    <t>Producción Kg. Materia Seca (C*Y*1000)</t>
  </si>
  <si>
    <t>Arveja Seco Solo</t>
  </si>
  <si>
    <t>Arveja Seco Asociado</t>
  </si>
  <si>
    <t>Arveja Tierno Solo</t>
  </si>
  <si>
    <t>Arveja Tierno Asociado</t>
  </si>
  <si>
    <t>Fréjol  Seco Solo</t>
  </si>
  <si>
    <t>Fréjol  Seco Asociado</t>
  </si>
  <si>
    <t>Fréjol  Tierno Solo</t>
  </si>
  <si>
    <t>Fréjol  Tierno Asociado</t>
  </si>
  <si>
    <t>Haba  Seco Solo</t>
  </si>
  <si>
    <t>Haba  Seco Asociado</t>
  </si>
  <si>
    <t>Haba  Tierno Solo</t>
  </si>
  <si>
    <t>Haba  Tierno Asociado</t>
  </si>
  <si>
    <t>Fertilizante Sintético Nitrogenado  (Total nacional por año de inventario)</t>
  </si>
  <si>
    <t>Total N
(C*E)*1000
Kg/año</t>
  </si>
  <si>
    <t>Total N
(C*H)*1000
Kg/año</t>
  </si>
  <si>
    <t>Total N
(C*K)*1000
Kg/año</t>
  </si>
  <si>
    <t>Total N
(C*N)*1000
Kg/año</t>
  </si>
  <si>
    <t>Total N
(C*Q)*1000
Kg/año</t>
  </si>
  <si>
    <t>Total N
(C*W)*1000
Kg/año</t>
  </si>
  <si>
    <t>BCE, 1994</t>
  </si>
  <si>
    <t>BCE, 2000</t>
  </si>
  <si>
    <t>BCE, 2006</t>
  </si>
  <si>
    <t>BCE, 2010</t>
  </si>
  <si>
    <t>BCE, 2012</t>
  </si>
  <si>
    <t>Principales Cultivos</t>
  </si>
  <si>
    <t>Total (Gg)</t>
  </si>
  <si>
    <t>1  Cereales</t>
  </si>
  <si>
    <t>Maíz  duro choclo (en choclo, solo)</t>
  </si>
  <si>
    <t>Maíz  duro choclo (en choclo, asociado)</t>
  </si>
  <si>
    <t>Maíz  duro seco (grano seco, solo)</t>
  </si>
  <si>
    <t>Maíz  duro seco (grano seco, asociado)</t>
  </si>
  <si>
    <t>Maíz  suave choclo (en choclo, solo)</t>
  </si>
  <si>
    <t>Maíz  suave choclo (en choclo, asociado)</t>
  </si>
  <si>
    <t>Maíz  suave seco (grano seco, solo)</t>
  </si>
  <si>
    <t>Maíz  suave seco (grano seco, asociado)</t>
  </si>
  <si>
    <t>2  Leguminosa</t>
  </si>
  <si>
    <t>3  Tubérculos y raíces</t>
  </si>
  <si>
    <t>4  Caña de azúcar</t>
  </si>
  <si>
    <t>ESPAC 2006, tabla 2_06</t>
  </si>
  <si>
    <t>ESPAC 2010, tabla 2_10</t>
  </si>
  <si>
    <t>ESPAC 2012, tabla 2</t>
  </si>
  <si>
    <t>5  Otros (Especificar)</t>
  </si>
  <si>
    <t>6 Otros (especificar)</t>
  </si>
  <si>
    <t>Aporte de N cultivos fijadores (FBN) kg N/año</t>
  </si>
  <si>
    <t>ESPAC 2014 (version II corregida), tabla 54</t>
  </si>
  <si>
    <t>ESPAC 2014 (version II corregida), tabla 41</t>
  </si>
  <si>
    <t>ESPAC 2014 (version II corregida), tabla 41-54</t>
  </si>
  <si>
    <t>ESPAC 2014 (version II corregida), tabla 48</t>
  </si>
  <si>
    <t>ESPAC 2014 (version II corregida), tabla 49</t>
  </si>
  <si>
    <t>Ministerio de Agricultura, Regional Chimborazo</t>
  </si>
  <si>
    <t>ESPAC 2014 (version II corregida), tabla 47</t>
  </si>
  <si>
    <t>ESPAC 2014 (version II corregida), tabla 50-51</t>
  </si>
  <si>
    <t>ESPAC 2014, tabla 6</t>
  </si>
  <si>
    <t>ESPAC 2014, tabla 23</t>
  </si>
  <si>
    <t>ESPAC 2014, tabla 27</t>
  </si>
  <si>
    <t>ESPAC 2014, tabla 36</t>
  </si>
  <si>
    <t>ESPAC 2014, tabla 39</t>
  </si>
  <si>
    <t>ESPAC 2014, tabla 40</t>
  </si>
  <si>
    <t>ESPAC 2014, tabla 32-35</t>
  </si>
  <si>
    <t>ESPAC 2014, tabla 15</t>
  </si>
  <si>
    <t>BCE, 2014</t>
  </si>
  <si>
    <t>Número de Animales</t>
  </si>
  <si>
    <t>(cabezas)</t>
  </si>
  <si>
    <t>Categoria de Ganado</t>
  </si>
  <si>
    <t>Factor de Emisión para Fermentación Entérica</t>
  </si>
  <si>
    <t>Tablas 10.10 y 10.11</t>
  </si>
  <si>
    <t>Categoria</t>
  </si>
  <si>
    <t>Código de Categoría</t>
  </si>
  <si>
    <t>Hoja</t>
  </si>
  <si>
    <t>Ecuación</t>
  </si>
  <si>
    <t>Ecuación 10.19</t>
  </si>
  <si>
    <t>Ecuación 10.22</t>
  </si>
  <si>
    <r>
      <t>CH</t>
    </r>
    <r>
      <rPr>
        <vertAlign val="subscript"/>
        <sz val="9"/>
        <rFont val="Arial"/>
        <family val="2"/>
      </rPr>
      <t>4</t>
    </r>
    <r>
      <rPr>
        <sz val="9"/>
        <rFont val="Arial"/>
        <family val="2"/>
      </rPr>
      <t xml:space="preserve"> Emisiones para Fermentación Entérica</t>
    </r>
  </si>
  <si>
    <t>Dato</t>
  </si>
  <si>
    <t>No Lechero Toros</t>
  </si>
  <si>
    <t>Directrices del IPCC para los inventarios de gases de efecto invernadero 2006, Vol 4, Cap 10 (Cuadro 10A.2, p. 10.74)</t>
  </si>
  <si>
    <t>Directrices del IPCC de 2006 para los inventarios nacionales de gases de efecto invernadero, Vol 4, Cap 10 (Cuadro 10.10, p. 10.30)</t>
  </si>
  <si>
    <t>Corresponde al dato de número de cabezas de patos criados en campo</t>
  </si>
  <si>
    <t xml:space="preserve">Pavos </t>
  </si>
  <si>
    <t>Corresponde a la suma de aves criadas en campo (pavos) + aves criadas en planteles avícolas (pavos)</t>
  </si>
  <si>
    <t>Corresponde al dato de número de cabezas de ponedoras en planteles avícolas</t>
  </si>
  <si>
    <t>DA</t>
  </si>
  <si>
    <t>FE para Fermentación Entérica</t>
  </si>
  <si>
    <t>Categoría</t>
  </si>
  <si>
    <t>Número de animales</t>
  </si>
  <si>
    <t>Ratio de excreción de N (default)</t>
  </si>
  <si>
    <t>Masa tipica del animal por categoría</t>
  </si>
  <si>
    <r>
      <t>Excreción anual de N por cabeza de especie / categoría ganadera</t>
    </r>
    <r>
      <rPr>
        <vertAlign val="superscript"/>
        <sz val="9"/>
        <rFont val="Arial"/>
        <family val="2"/>
      </rPr>
      <t>3</t>
    </r>
  </si>
  <si>
    <r>
      <t>Factor de emisión para emisiones directas de N</t>
    </r>
    <r>
      <rPr>
        <vertAlign val="subscript"/>
        <sz val="9"/>
        <rFont val="Arial"/>
        <family val="2"/>
      </rPr>
      <t>2</t>
    </r>
    <r>
      <rPr>
        <sz val="9"/>
        <rFont val="Arial"/>
        <family val="2"/>
      </rPr>
      <t xml:space="preserve">O-N por MMS </t>
    </r>
  </si>
  <si>
    <r>
      <t>Emisiones anuales directas de N</t>
    </r>
    <r>
      <rPr>
        <vertAlign val="subscript"/>
        <sz val="9"/>
        <rFont val="Arial"/>
        <family val="2"/>
      </rPr>
      <t>2</t>
    </r>
    <r>
      <rPr>
        <sz val="9"/>
        <rFont val="Arial"/>
        <family val="2"/>
      </rPr>
      <t xml:space="preserve">O </t>
    </r>
  </si>
  <si>
    <t>Ecuación 10.30</t>
  </si>
  <si>
    <t>Ecuación 10.25</t>
  </si>
  <si>
    <t>Tabla 10.19</t>
  </si>
  <si>
    <t>Tablas 10A-4 to 10A-9</t>
  </si>
  <si>
    <t>Tabla 10.22</t>
  </si>
  <si>
    <t>Factor intermedio</t>
  </si>
  <si>
    <t>Dato de cálculo</t>
  </si>
  <si>
    <t>FE</t>
  </si>
  <si>
    <t>Ecuación 10.26</t>
  </si>
  <si>
    <t>Ecuación 10.27</t>
  </si>
  <si>
    <t>2 de 2</t>
  </si>
  <si>
    <t>Tabla</t>
  </si>
  <si>
    <r>
      <t>Cultivo de Arroz: Emisiones anuales de Metano CH</t>
    </r>
    <r>
      <rPr>
        <b/>
        <vertAlign val="subscript"/>
        <sz val="9"/>
        <rFont val="Arial"/>
        <family val="2"/>
      </rPr>
      <t>4</t>
    </r>
    <r>
      <rPr>
        <b/>
        <sz val="9"/>
        <rFont val="Arial"/>
        <family val="2"/>
      </rPr>
      <t xml:space="preserve"> </t>
    </r>
  </si>
  <si>
    <t>Ecosistema de arroz</t>
  </si>
  <si>
    <t>Ecuación 5.1</t>
  </si>
  <si>
    <t>Ecuación 5.2</t>
  </si>
  <si>
    <t>Ecuación 5.3</t>
  </si>
  <si>
    <r>
      <t>Subcategorías para el año del informe</t>
    </r>
    <r>
      <rPr>
        <vertAlign val="superscript"/>
        <sz val="9"/>
        <rFont val="Arial"/>
        <family val="2"/>
      </rPr>
      <t>1</t>
    </r>
    <r>
      <rPr>
        <sz val="9"/>
        <rFont val="Arial"/>
        <family val="2"/>
      </rPr>
      <t> </t>
    </r>
  </si>
  <si>
    <t>Area Cosechada Anual</t>
  </si>
  <si>
    <t>Periodo de cultivo del arroz</t>
  </si>
  <si>
    <t>Factor de emisión de línea de base para campos continuamente inundados sin enmiendas orgánicas</t>
  </si>
  <si>
    <t>Factor de escala para tener en cuenta las diferencias en el régimen del agua durante el período de cultivo</t>
  </si>
  <si>
    <t>Factor de escala para tener en cuenta las diferencias en el régimen hídrico en la pretemporada antes del período de cultivo</t>
  </si>
  <si>
    <t>1 de 2</t>
  </si>
  <si>
    <t>Factor de escala para ambos tipos y cantidad de enmienda orgánica aplicada</t>
  </si>
  <si>
    <r>
      <t xml:space="preserve">1 </t>
    </r>
    <r>
      <rPr>
        <sz val="8"/>
        <rFont val="Times New Roman"/>
        <family val="1"/>
      </rPr>
      <t>El ecosistema del arroz se puede estratificar según los regímenes hídricos, el tipo y la cantidad de enmiendas orgánicas y otras condiciones en las que las emisiones de CH4 del arroz pueden variar.</t>
    </r>
  </si>
  <si>
    <t xml:space="preserve">Cultivo de Arroz: Emisiones anuales de Metano CH4 </t>
  </si>
  <si>
    <t>Ecuación 2.2</t>
  </si>
  <si>
    <t>Factor de emisión diario ajustado para un área cosechada en particular</t>
  </si>
  <si>
    <r>
      <t xml:space="preserve">1 </t>
    </r>
    <r>
      <rPr>
        <sz val="8"/>
        <rFont val="Times New Roman"/>
        <family val="1"/>
      </rPr>
      <t>La tierra debe estratificarse según los ecosistemas, los regímenes de agua, el tipo y la cantidad de enmiendas orgánicas y otras condiciones en las que las emisiones de CH4 del arroz pueden variar. La desagregación del área de cosecha anual de arroz debe realizarse al menos para tres regímenes de agua de referencia, incluidos los de regadío, de secano y de tierras altas. Dentro de cada estrato, los subestratos deben separarse para cada tipo de enmienda orgánica (ver Ecuación 5.3)</t>
    </r>
  </si>
  <si>
    <t>Area Cosechada Anual -- Irrigado</t>
  </si>
  <si>
    <t>Area Cosechada Anual -- Aguas profundas</t>
  </si>
  <si>
    <t>Area Cosechada Anual -- Tierras Altas</t>
  </si>
  <si>
    <t>EMISIONES DE METANO POR CULTIVO DE ARROZ</t>
  </si>
  <si>
    <t>Fertilizantes usados en cultivo de arroz- TOTAL</t>
  </si>
  <si>
    <t>ESPAC 2014 (corregida)</t>
  </si>
  <si>
    <t>TOTALES  FERTILIZANTES SINTETICOS</t>
  </si>
  <si>
    <t>TOTALES FERTILIZANTES ORGÁNICOS</t>
  </si>
  <si>
    <t>Orgánicos para arroz</t>
  </si>
  <si>
    <t>Sinteticos para arroz</t>
  </si>
  <si>
    <t>Rendimiento anual de materia seca cosechada para el cultivo T</t>
  </si>
  <si>
    <t>Superficie anual de cosecha del cultivo T</t>
  </si>
  <si>
    <t>Superficie anual del cultivo T quemada</t>
  </si>
  <si>
    <t>Producción por Cultivo</t>
  </si>
  <si>
    <t>fracción de la superficie total dedicada al cultivo T que se renueva anualmente</t>
  </si>
  <si>
    <t>Relación entre la materia seca de los residuos aéreos (AGDM(T)) y el rendimiento de cosecha del cultivo T (Cultivo(T) ,</t>
  </si>
  <si>
    <t>Tipo de Cultivo</t>
  </si>
  <si>
    <t>Fracción de materia seca del cultivo cosechado T,</t>
  </si>
  <si>
    <t>(kg peso fresco)^-1</t>
  </si>
  <si>
    <t>Rendimiento de materia seca cosechada para el cultivo T,</t>
  </si>
  <si>
    <t>há año^-1</t>
  </si>
  <si>
    <t>kg d.m. há^-1</t>
  </si>
  <si>
    <t>Cantidad anual de N en los residuos agrícolas (aéreos y subterráneos),</t>
  </si>
  <si>
    <t>N DE RESIDUOS AGRÍCOLAS Y RENOVACIÓN DE FORRAJE/PASTURAS</t>
  </si>
  <si>
    <r>
      <t xml:space="preserve">ECUACIÓN 11.6   </t>
    </r>
    <r>
      <rPr>
        <b/>
        <sz val="14"/>
        <color indexed="8"/>
        <rFont val="Liberation Sans"/>
        <family val="2"/>
      </rPr>
      <t xml:space="preserve">Fcr </t>
    </r>
    <r>
      <rPr>
        <b/>
        <sz val="12"/>
        <color indexed="8"/>
        <rFont val="Liberation Sans"/>
        <family val="2"/>
      </rPr>
      <t xml:space="preserve">: </t>
    </r>
  </si>
  <si>
    <t>FAO, FAOSTATS 2014</t>
  </si>
  <si>
    <t>Área de suelos orgánicos manejados / drenados.  (Ha)</t>
  </si>
  <si>
    <t>EMISIONES DIRECTAS DE ÓXIDO NITROSO N2O POR MANEJO DE SUELOS</t>
  </si>
  <si>
    <t>número</t>
  </si>
  <si>
    <t>Tons</t>
  </si>
  <si>
    <t>Total toneladas producidas por horno x dia</t>
  </si>
  <si>
    <t>dias</t>
  </si>
  <si>
    <t>%</t>
  </si>
  <si>
    <t xml:space="preserve">Uso de cal en agricultura (domestica) </t>
  </si>
  <si>
    <t xml:space="preserve">Importacion de Dolomita </t>
  </si>
  <si>
    <t>Unidad</t>
  </si>
  <si>
    <r>
      <t>Emisiones Directas de Oxido Nitroso N</t>
    </r>
    <r>
      <rPr>
        <b/>
        <vertAlign val="subscript"/>
        <sz val="8"/>
        <rFont val="Arial"/>
        <family val="2"/>
      </rPr>
      <t>2</t>
    </r>
    <r>
      <rPr>
        <b/>
        <sz val="8"/>
        <rFont val="Arial"/>
        <family val="2"/>
      </rPr>
      <t>O por manejo de suelos</t>
    </r>
  </si>
  <si>
    <t>Tipo de fuente antropogénica de N</t>
  </si>
  <si>
    <t>Monto anual de N aplicado</t>
  </si>
  <si>
    <r>
      <t>Factor de emisión de N</t>
    </r>
    <r>
      <rPr>
        <vertAlign val="subscript"/>
        <sz val="8"/>
        <rFont val="Arial"/>
        <family val="2"/>
      </rPr>
      <t>2</t>
    </r>
    <r>
      <rPr>
        <sz val="8"/>
        <rFont val="Arial"/>
        <family val="2"/>
      </rPr>
      <t>O por fuentes de N</t>
    </r>
  </si>
  <si>
    <r>
      <t>Emisiones directas de N</t>
    </r>
    <r>
      <rPr>
        <vertAlign val="subscript"/>
        <sz val="8"/>
        <color indexed="8"/>
        <rFont val="Arial"/>
        <family val="2"/>
      </rPr>
      <t>2</t>
    </r>
    <r>
      <rPr>
        <sz val="8"/>
        <color indexed="8"/>
        <rFont val="Arial"/>
        <family val="2"/>
      </rPr>
      <t>O-N producidas por manejo de suelos</t>
    </r>
  </si>
  <si>
    <t>Tabla 11.1</t>
  </si>
  <si>
    <r>
      <t>Tipos de insumos antropogénicos para estimar los resultados directos anuales de emisiones de N</t>
    </r>
    <r>
      <rPr>
        <vertAlign val="subscript"/>
        <sz val="8"/>
        <rFont val="Arial"/>
        <family val="2"/>
      </rPr>
      <t>2</t>
    </r>
    <r>
      <rPr>
        <sz val="8"/>
        <rFont val="Arial"/>
        <family val="2"/>
      </rPr>
      <t>O-N producidas por manejo de suelos</t>
    </r>
  </si>
  <si>
    <r>
      <t>Tipos de insumos antropogénicos para estimar los resultados directos anuales de emisiones de N</t>
    </r>
    <r>
      <rPr>
        <vertAlign val="subscript"/>
        <sz val="8"/>
        <rFont val="Arial"/>
        <family val="2"/>
      </rPr>
      <t>2</t>
    </r>
    <r>
      <rPr>
        <sz val="8"/>
        <rFont val="Arial"/>
        <family val="2"/>
      </rPr>
      <t>O-N producidas por cultivo de arroz</t>
    </r>
  </si>
  <si>
    <t>fertilizantes sintéticos</t>
  </si>
  <si>
    <r>
      <t>F</t>
    </r>
    <r>
      <rPr>
        <vertAlign val="subscript"/>
        <sz val="8"/>
        <rFont val="Arial"/>
        <family val="2"/>
      </rPr>
      <t>SN</t>
    </r>
    <r>
      <rPr>
        <sz val="8"/>
        <rFont val="Arial"/>
        <family val="2"/>
      </rPr>
      <t>: N en fertilizantes sintéticos</t>
    </r>
  </si>
  <si>
    <t>residuos agrícolas</t>
  </si>
  <si>
    <r>
      <t>F</t>
    </r>
    <r>
      <rPr>
        <vertAlign val="subscript"/>
        <sz val="8"/>
        <rFont val="Arial"/>
        <family val="2"/>
      </rPr>
      <t>CR</t>
    </r>
    <r>
      <rPr>
        <sz val="8"/>
        <rFont val="Arial"/>
        <family val="2"/>
      </rPr>
      <t>: N en residuos agrícolas</t>
    </r>
  </si>
  <si>
    <t>Cambios de uso o manejo de la tierra</t>
  </si>
  <si>
    <r>
      <t>F</t>
    </r>
    <r>
      <rPr>
        <vertAlign val="subscript"/>
        <sz val="8"/>
        <rFont val="Arial"/>
        <family val="2"/>
      </rPr>
      <t>SOM</t>
    </r>
    <r>
      <rPr>
        <sz val="8"/>
        <rFont val="Arial"/>
        <family val="2"/>
      </rPr>
      <t>: N en suelos minerales que están mineralizados, en asociación con la pérdida de suelo C de la materia orgánica del suelo como resultado de cambios en el uso o manejo de la tierra</t>
    </r>
  </si>
  <si>
    <t>FSN: N en fertilizantes sintéticos</t>
  </si>
  <si>
    <t>FON: N en estiércol animal, compost, lodos, otros</t>
  </si>
  <si>
    <t>FCR: N en residuos agrícolas</t>
  </si>
  <si>
    <t>FSOM: N en suelos minerales que están mineralizados, en asociación con la pérdida de suelo C de la materia orgánica del suelo como resultado de cambios en el uso o manejo de la tierra</t>
  </si>
  <si>
    <t>Emisiones Directas de Oxido Nitroso N2O por manejo de suelos</t>
  </si>
  <si>
    <r>
      <t>Tipo de fuente antropogénica de N</t>
    </r>
    <r>
      <rPr>
        <vertAlign val="superscript"/>
        <sz val="8"/>
        <rFont val="Arial"/>
        <family val="2"/>
      </rPr>
      <t>1,2</t>
    </r>
  </si>
  <si>
    <t>Área anual de suelos orgánicos manejados / drenados.</t>
  </si>
  <si>
    <r>
      <t>Factor de emisión para emisiones de N</t>
    </r>
    <r>
      <rPr>
        <vertAlign val="subscript"/>
        <sz val="8"/>
        <rFont val="Arial"/>
        <family val="2"/>
      </rPr>
      <t>2</t>
    </r>
    <r>
      <rPr>
        <sz val="8"/>
        <rFont val="Arial"/>
        <family val="2"/>
      </rPr>
      <t xml:space="preserve">O por manejo de suelos </t>
    </r>
  </si>
  <si>
    <r>
      <t>Emisiones directas anuales de N</t>
    </r>
    <r>
      <rPr>
        <vertAlign val="subscript"/>
        <sz val="8"/>
        <rFont val="Arial"/>
        <family val="2"/>
      </rPr>
      <t>2</t>
    </r>
    <r>
      <rPr>
        <sz val="8"/>
        <rFont val="Arial"/>
        <family val="2"/>
      </rPr>
      <t>O-N por manejo de suelos orgánicos</t>
    </r>
  </si>
  <si>
    <t>Cantidad de orina y estiércol N depositada por los animales de pastoreo en pastizales, campos y pastos</t>
  </si>
  <si>
    <r>
      <t>Factor de emisión de N</t>
    </r>
    <r>
      <rPr>
        <vertAlign val="subscript"/>
        <sz val="8"/>
        <rFont val="Arial"/>
        <family val="2"/>
      </rPr>
      <t>2</t>
    </r>
    <r>
      <rPr>
        <sz val="8"/>
        <rFont val="Arial"/>
        <family val="2"/>
      </rPr>
      <t>O por la orina y el estiércol N depositados en los pastos, la variedad y el prado de los animales de pastoreo</t>
    </r>
  </si>
  <si>
    <r>
      <t>Emisiones anuales directas de N</t>
    </r>
    <r>
      <rPr>
        <vertAlign val="subscript"/>
        <sz val="8"/>
        <rFont val="Arial"/>
        <family val="2"/>
      </rPr>
      <t>2</t>
    </r>
    <r>
      <rPr>
        <sz val="8"/>
        <rFont val="Arial"/>
        <family val="2"/>
      </rPr>
      <t>O por la entrada de orina y estiércol a suelos pastoreados.</t>
    </r>
  </si>
  <si>
    <t>Suelos orgánicos gestionados</t>
  </si>
  <si>
    <t>Fuentes de orina y estiércol en suelos pastados</t>
  </si>
  <si>
    <r>
      <t>1</t>
    </r>
    <r>
      <rPr>
        <sz val="8"/>
        <rFont val="Times New Roman"/>
        <family val="1"/>
      </rPr>
      <t xml:space="preserve"> El área debe estar desagregada por Cropland y Pastizales (CG), Bosque (F), Templado (Temp), Tropical (Trop), Rico en nutrientes (NR) y Nutriente Pobre (NP), respectivamente, ver Ecuación 11.1.</t>
    </r>
  </si>
  <si>
    <r>
      <t xml:space="preserve">2 </t>
    </r>
    <r>
      <rPr>
        <sz val="8"/>
        <rFont val="Times New Roman"/>
        <family val="1"/>
      </rPr>
      <t>La cantidad debe ser desagregada por CPP y SO, que se refieren a ganado, aves de corral y cerdos, y ovejas y otros animales, respectivamente. Ver ecuación 11.1.</t>
    </r>
  </si>
  <si>
    <t>FSOM: N en suelos minerales que están mineralizados</t>
  </si>
  <si>
    <t>N/A</t>
  </si>
  <si>
    <t>No existe el dato para el país</t>
  </si>
  <si>
    <t>FSN: N en fertilizantes sintéticos -- arroz</t>
  </si>
  <si>
    <t>FON: N en estiércol animal, compost, lodos, otros - arroz</t>
  </si>
  <si>
    <t>FCR: N en residuos agrícolas -- arroz</t>
  </si>
  <si>
    <t xml:space="preserve">Directrices del IPCC de 2006 para los inventarios nacionales de gases de efecto invernadero, Vol 4, Cap 11 (tabla 11.1 p. 11.12) </t>
  </si>
  <si>
    <t>Factor de Emision para Fon</t>
  </si>
  <si>
    <t>Factor de Emision para Fsn</t>
  </si>
  <si>
    <t>Factor de Emision para Fcr</t>
  </si>
  <si>
    <t>Suelos orgánicos gestionados CG, Temp</t>
  </si>
  <si>
    <t>FAO, FAOSTAT</t>
  </si>
  <si>
    <t xml:space="preserve">Factor de emisión para emisiones de N2O por manejo de suelos </t>
  </si>
  <si>
    <t>Fuentes de orina y estiércol en suelos pastados CPP</t>
  </si>
  <si>
    <t>Fuentes de orina y estiércol en suelos pastados SO</t>
  </si>
  <si>
    <t>Hoja 3A2 Ecuación 10.25</t>
  </si>
  <si>
    <t>Factor de emisión CPP</t>
  </si>
  <si>
    <t>Factor de emisión SO</t>
  </si>
  <si>
    <r>
      <t>Emisiones Indirectas de N</t>
    </r>
    <r>
      <rPr>
        <b/>
        <vertAlign val="subscript"/>
        <sz val="8"/>
        <rFont val="Arial"/>
        <family val="2"/>
      </rPr>
      <t>2</t>
    </r>
    <r>
      <rPr>
        <b/>
        <sz val="8"/>
        <rFont val="Arial"/>
        <family val="2"/>
      </rPr>
      <t>O por suelos gestionados: N</t>
    </r>
    <r>
      <rPr>
        <b/>
        <vertAlign val="subscript"/>
        <sz val="8"/>
        <rFont val="Arial"/>
        <family val="2"/>
      </rPr>
      <t>2</t>
    </r>
    <r>
      <rPr>
        <b/>
        <sz val="8"/>
        <rFont val="Arial"/>
        <family val="2"/>
      </rPr>
      <t>O de la Deposición Atmosférica de N Volatilizada de Suelos Gestionados</t>
    </r>
  </si>
  <si>
    <r>
      <t>Emisiones Indirectas de N</t>
    </r>
    <r>
      <rPr>
        <b/>
        <vertAlign val="subscript"/>
        <sz val="9"/>
        <rFont val="Arial"/>
        <family val="2"/>
      </rPr>
      <t>2</t>
    </r>
    <r>
      <rPr>
        <b/>
        <sz val="9"/>
        <rFont val="Arial"/>
        <family val="2"/>
      </rPr>
      <t>O por suelos gestionados : N</t>
    </r>
    <r>
      <rPr>
        <b/>
        <vertAlign val="subscript"/>
        <sz val="9"/>
        <rFont val="Arial"/>
        <family val="2"/>
      </rPr>
      <t>2</t>
    </r>
    <r>
      <rPr>
        <b/>
        <sz val="9"/>
        <rFont val="Arial"/>
        <family val="2"/>
      </rPr>
      <t>O del N producido por lixiviación / escurrimiento de suelos gestionados</t>
    </r>
  </si>
  <si>
    <t>Cantidad anual de fertilizante sintético N aplicado a los suelos.</t>
  </si>
  <si>
    <t>Fracción del fertilizante sintético N que se volatiliza.</t>
  </si>
  <si>
    <t>Cantidad anual de estiércol animal, compost, lodos de depuradora y otras adiciones orgánicas de N aplicadas intencionalmente a los suelos</t>
  </si>
  <si>
    <t>Cantidad anual de orina y estiércol N depositada por los animales de pastoreo en pastizales, campos y pastos</t>
  </si>
  <si>
    <t>Fracción de fertilizantes orgánicos N (FON) aplicados y de orina y excrementos de N depositados por animales de pastoreo (FPRP) que se volatilizan.</t>
  </si>
  <si>
    <r>
      <t>Factor de emision para el N</t>
    </r>
    <r>
      <rPr>
        <vertAlign val="subscript"/>
        <sz val="8"/>
        <rFont val="Arial"/>
        <family val="2"/>
      </rPr>
      <t>2</t>
    </r>
    <r>
      <rPr>
        <sz val="8"/>
        <rFont val="Arial"/>
        <family val="2"/>
      </rPr>
      <t>O producto de la deposición atmosférica de N en suelos y superficies de agua.</t>
    </r>
  </si>
  <si>
    <r>
      <t>Cantidad anual de N</t>
    </r>
    <r>
      <rPr>
        <vertAlign val="subscript"/>
        <sz val="8"/>
        <rFont val="Arial"/>
        <family val="2"/>
      </rPr>
      <t>2</t>
    </r>
    <r>
      <rPr>
        <sz val="8"/>
        <rFont val="Arial"/>
        <family val="2"/>
      </rPr>
      <t>O-N producido a partir de la deposición atmosférica de N volatilizado de suelos gestionados.</t>
    </r>
  </si>
  <si>
    <t>Cantidad de N en los residuos de cultivos (sobre y debajo del suelo), incluidos los cultivos que fijan N, y de la renovación de forraje / pasto, devuelta a los suelos anualmente</t>
  </si>
  <si>
    <t>Cantidad anual de N mineralizado / inmovilizado en suelos minerales asociados con la pérdida / ganancia de suelo C a partir de materia orgánica del suelo como resultado de cambios en el uso o manejo de la tierra</t>
  </si>
  <si>
    <t>Fracción de todas las adiciones de N a los suelos administrados que se pierden por lixiviación y escorrentía</t>
  </si>
  <si>
    <t>Factor de emisión para la emisión de N2O por lixiviación y escorrentía de N</t>
  </si>
  <si>
    <r>
      <t>Cantidad anual de N</t>
    </r>
    <r>
      <rPr>
        <vertAlign val="subscript"/>
        <sz val="9"/>
        <rFont val="Arial"/>
        <family val="2"/>
      </rPr>
      <t>2</t>
    </r>
    <r>
      <rPr>
        <sz val="9"/>
        <rFont val="Arial"/>
        <family val="2"/>
      </rPr>
      <t>O-N producido a partir de suelos manejados en regiones donde se produce la lixiviación y la escorrentía.</t>
    </r>
  </si>
  <si>
    <t>Ecuación 11.9</t>
  </si>
  <si>
    <t>Ecuación 11.10</t>
  </si>
  <si>
    <t>FracGASF</t>
  </si>
  <si>
    <t>Fprp: Cantidad anual de orina y estiércol N depositada</t>
  </si>
  <si>
    <t>Calculo intermedio</t>
  </si>
  <si>
    <t>FracGASM</t>
  </si>
  <si>
    <t>EF4: Factor de emision para el N2O producto de la deposición atmosférica de N en suelos y superficies de agua.</t>
  </si>
  <si>
    <t>FracLEACH-(H)</t>
  </si>
  <si>
    <t>EF5: Factor de emisión para la emisión de N2O por lixiviación y escorrentía de N</t>
  </si>
  <si>
    <t>EMISIONES INDIRECTAS DE ÓXIDO NITROSO N2O POR MANEJO DE SUELOS</t>
  </si>
  <si>
    <t>calmosacorp</t>
  </si>
  <si>
    <t>calcarios huaico</t>
  </si>
  <si>
    <t>incoreg</t>
  </si>
  <si>
    <t>indami</t>
  </si>
  <si>
    <t>cooperativa de cal y cementina chimborazo</t>
  </si>
  <si>
    <t>Cooperativa de Cal y Cementina Chimborazo; Asociación de Productores de cal de Chimborazo-Cotopaxi, proyectado a 2014</t>
  </si>
  <si>
    <t>Fuentes</t>
  </si>
  <si>
    <t>Producción de Dolomita</t>
  </si>
  <si>
    <t>Cooperativa de Cal y Cementina Chimborazo; Asociación de Productores de Cal de Chimborazo-Cotopaxi, proyectado a 2014</t>
  </si>
  <si>
    <t>1 de 1</t>
  </si>
  <si>
    <t>Tipo de cal aplicada</t>
  </si>
  <si>
    <t>Cal Dolomita</t>
  </si>
  <si>
    <r>
      <t>Cantidad anual de dolomita (CaMg(CO</t>
    </r>
    <r>
      <rPr>
        <vertAlign val="subscript"/>
        <sz val="9"/>
        <rFont val="Arial"/>
        <family val="2"/>
      </rPr>
      <t>3</t>
    </r>
    <r>
      <rPr>
        <sz val="9"/>
        <rFont val="Arial"/>
        <family val="2"/>
      </rPr>
      <t>)</t>
    </r>
    <r>
      <rPr>
        <vertAlign val="subscript"/>
        <sz val="9"/>
        <rFont val="Arial"/>
        <family val="2"/>
      </rPr>
      <t>2</t>
    </r>
    <r>
      <rPr>
        <sz val="9"/>
        <rFont val="Arial"/>
        <family val="2"/>
      </rPr>
      <t>)</t>
    </r>
  </si>
  <si>
    <t>Factor de emisión</t>
  </si>
  <si>
    <t>Emisiones anuales de C por encalado</t>
  </si>
  <si>
    <t>TABLA 3C2.1</t>
  </si>
  <si>
    <t>Empresas: Calmosacorp, Calcarios Huayco</t>
  </si>
  <si>
    <t xml:space="preserve">Directrices del IPCC de 2006 para los inventarios nacionales de gases de efecto invernadero, Vol 4, Cap 11 ( p. 11.31) </t>
  </si>
  <si>
    <t>Piedra caliza</t>
  </si>
  <si>
    <r>
      <t>Cantidad anual de piedra caliza (CaCO</t>
    </r>
    <r>
      <rPr>
        <vertAlign val="subscript"/>
        <sz val="9"/>
        <rFont val="Arial"/>
        <family val="2"/>
      </rPr>
      <t>3</t>
    </r>
    <r>
      <rPr>
        <sz val="9"/>
        <rFont val="Arial"/>
        <family val="2"/>
      </rPr>
      <t xml:space="preserve">) </t>
    </r>
  </si>
  <si>
    <t xml:space="preserve">Importación de piedra caliza  </t>
  </si>
  <si>
    <t>Cantidad anual de dolomita (CaMg(CO3)2)</t>
  </si>
  <si>
    <t>EMISIONES DE CO2 POR ENCALADO</t>
  </si>
  <si>
    <t>EMISIONES DE CO2 POR UTILIZACIÓN DE UREA</t>
  </si>
  <si>
    <r>
      <t>Fertilización con Urea: Emisiones anuales de CO</t>
    </r>
    <r>
      <rPr>
        <b/>
        <vertAlign val="subscript"/>
        <sz val="9"/>
        <rFont val="Arial"/>
        <family val="2"/>
      </rPr>
      <t>2</t>
    </r>
    <r>
      <rPr>
        <b/>
        <sz val="9"/>
        <rFont val="Arial"/>
        <family val="2"/>
      </rPr>
      <t xml:space="preserve"> por fertilización con urea</t>
    </r>
  </si>
  <si>
    <t>Ecuación 11.13</t>
  </si>
  <si>
    <t>Subcategorias para el año de reporte</t>
  </si>
  <si>
    <t xml:space="preserve">Cantidad anual de piedra caliza (CaCO3) </t>
  </si>
  <si>
    <t>Cantidad anual de fertilización con urea</t>
  </si>
  <si>
    <t>Factor de Emisión</t>
  </si>
  <si>
    <t>factor por defecto 0.20</t>
  </si>
  <si>
    <r>
      <t>(toneladas urea yr</t>
    </r>
    <r>
      <rPr>
        <vertAlign val="superscript"/>
        <sz val="9"/>
        <rFont val="Arial"/>
        <family val="2"/>
      </rPr>
      <t>-1</t>
    </r>
    <r>
      <rPr>
        <sz val="9"/>
        <rFont val="Arial"/>
        <family val="2"/>
      </rPr>
      <t>)</t>
    </r>
  </si>
  <si>
    <r>
      <t>[toneladas de C (ton de urea)</t>
    </r>
    <r>
      <rPr>
        <vertAlign val="superscript"/>
        <sz val="9"/>
        <rFont val="Arial"/>
        <family val="2"/>
      </rPr>
      <t>-1</t>
    </r>
    <r>
      <rPr>
        <sz val="9"/>
        <rFont val="Arial"/>
        <family val="2"/>
      </rPr>
      <t>]</t>
    </r>
  </si>
  <si>
    <r>
      <t>Emisiones anuales de CO</t>
    </r>
    <r>
      <rPr>
        <vertAlign val="subscript"/>
        <sz val="9"/>
        <rFont val="Arial"/>
        <family val="2"/>
      </rPr>
      <t>2</t>
    </r>
    <r>
      <rPr>
        <sz val="9"/>
        <rFont val="Arial"/>
        <family val="2"/>
      </rPr>
      <t>-C por fertilización de urea</t>
    </r>
  </si>
  <si>
    <r>
      <t>(toneladas C yr</t>
    </r>
    <r>
      <rPr>
        <vertAlign val="superscript"/>
        <sz val="9"/>
        <rFont val="Arial"/>
        <family val="2"/>
      </rPr>
      <t>-1</t>
    </r>
    <r>
      <rPr>
        <sz val="9"/>
        <rFont val="Arial"/>
        <family val="2"/>
      </rPr>
      <t>)</t>
    </r>
  </si>
  <si>
    <t>M: Cantidad anual de fertilización con urea</t>
  </si>
  <si>
    <t xml:space="preserve">Directrices del IPCC de 2006 para los inventarios nacionales de gases de efecto invernadero, Vol 4, Cap 11 ( p. 11.34) </t>
  </si>
  <si>
    <t>Punto focal NDC directivo Agricultura y USCUSS</t>
  </si>
  <si>
    <t>ANALISTA DE ESTADISTICAS AGROPECUARIAS Y AMBIENTALES 3</t>
  </si>
  <si>
    <t>ARGUELLO RUIZ JENNY ELIZABETH</t>
  </si>
  <si>
    <t>02-2544326 - 2238489 - 2555703</t>
  </si>
  <si>
    <t>jenny_arguello@inec.gob.ec</t>
  </si>
  <si>
    <t>DIRECTORA DE ESTADISTICAS AGROPECUARIAS Y AMBIENTALES</t>
  </si>
  <si>
    <t>MURGUEITIO TAMAYO MARIA JOSE</t>
  </si>
  <si>
    <t>02-2544326 - 2238489 - 2555701</t>
  </si>
  <si>
    <t>MariaJose_Murgueitio@inec.gob.ec</t>
  </si>
  <si>
    <t>PILATAXI GUAIRACAJA CARLOS PATRICIO</t>
  </si>
  <si>
    <t>carlos_pilataxi@inec.gob.ec</t>
  </si>
  <si>
    <t>Agricultura y Ganadería (MAG)</t>
  </si>
  <si>
    <t>Universidad de Cuenca</t>
  </si>
  <si>
    <t>guillermo.serpa@ucuenca.edu.ec c</t>
  </si>
  <si>
    <t>Instituto Nacional de Investigaciones Agropecuarias INIAP</t>
  </si>
  <si>
    <t>022567645 Ext: 215</t>
  </si>
  <si>
    <t>victor.barrera@iniap.gob.ec</t>
  </si>
  <si>
    <t>jmedina@mag.gob.ec</t>
  </si>
  <si>
    <t>Instituto Nacional de Investigación Agropecuaria (INIAP)</t>
  </si>
  <si>
    <t>(593 2) 2567645 (MAG) (593 2) 3076004 | 3076002 (Estación Santa Catalina)</t>
  </si>
  <si>
    <t>jose.zambrano@iniap.gob.ec</t>
  </si>
  <si>
    <t>Punto focal NDC técnico Agricultura y USCUSS</t>
  </si>
  <si>
    <t>(02)2567645 (Ext) 201 Quito</t>
  </si>
  <si>
    <t>Victor.barrera@iniap.gob.ec</t>
  </si>
  <si>
    <t>Punto focal NDC técnico (alterno) Agricultura y USCUSS</t>
  </si>
  <si>
    <t>Luis.escudero@iniap.gob.ec</t>
  </si>
  <si>
    <t>Agricultura y Uso de suelo Cambio de Uso del Suelo y Silvicultura (USCUSS)</t>
  </si>
  <si>
    <t>593-2 396-0100</t>
  </si>
  <si>
    <t>jvegal@mag.gob.ec</t>
  </si>
  <si>
    <t>dsanchezt@mag.gob.ec</t>
  </si>
  <si>
    <t>Telf.: (593 4)  2 599330 ext. 5663
(0999610360)</t>
  </si>
  <si>
    <t>fespinozaj@mag.gob.ec</t>
  </si>
  <si>
    <t>JEFE DE ESTADÍSTICAS AGROPECUARIAS</t>
  </si>
  <si>
    <t>ARMANDO DAVID SALAZAR MÉNDEZ</t>
  </si>
  <si>
    <t>TÉCNICO, UNIDAD DE PROCESAMIENTO DE LA INFORMACIÓN</t>
  </si>
  <si>
    <t>RAÚL GAETHE</t>
  </si>
  <si>
    <t>DECANO DE LA FACULTAD DE CIENCIAS AGROPECAUARIAS</t>
  </si>
  <si>
    <t>DR. GUILLERMO SERPA GARCÍA</t>
  </si>
  <si>
    <t>INVESTIGADOR PRINCIPAL 4</t>
  </si>
  <si>
    <t>DR. VÍCTOR HUGO BARRERA MOSQUERA</t>
  </si>
  <si>
    <t>DIRECTOR DE INVESTIGACIONES , ENCARGADO</t>
  </si>
  <si>
    <t>DR. JOSÉ LUIS ZAMBRANO</t>
  </si>
  <si>
    <t>DIRECTOR DE INVESTIGADORES, ENCARGADO</t>
  </si>
  <si>
    <t>DR. VÍCTOR HUGO BARRERA</t>
  </si>
  <si>
    <t>INVESTIGAR AGROPECUARIO</t>
  </si>
  <si>
    <t>ING. LUIS ESCUDERO</t>
  </si>
  <si>
    <t>GERENTE DEL PROYECTO DE INVERSIÓN DE INCENTIVOS FORESTALES</t>
  </si>
  <si>
    <t>JAIME MEDINA</t>
  </si>
  <si>
    <t>TÉCNICO DEL PROYECTO DE INVERSIÓN DE INCENTIVOS FORESTALES</t>
  </si>
  <si>
    <t>JULIO VEGA</t>
  </si>
  <si>
    <t>DIRECTORA DE PRE INVERSIÓN Y COOPERACIÓN NACIONAL E INTERNACIONAL, ENCARGADA</t>
  </si>
  <si>
    <t>DENISSE SÁNCHEZ</t>
  </si>
  <si>
    <t>ESPECIALISTA EN DESARROLLO FORESTAL</t>
  </si>
  <si>
    <t>FELIPE ESPINOZA</t>
  </si>
  <si>
    <t>IPCC 2006</t>
  </si>
  <si>
    <t>3A1</t>
  </si>
  <si>
    <t>INFORME SECTORIAL PARA INVENTARIOS NACIONALES DE GASES DE EFECTO INVERNADERO</t>
  </si>
  <si>
    <t>Total Agricultura</t>
  </si>
  <si>
    <t>          2 Búfalos</t>
  </si>
  <si>
    <t>          3 Ovejas</t>
  </si>
  <si>
    <t>          4 Cabras</t>
  </si>
  <si>
    <t>          6 Caballos</t>
  </si>
  <si>
    <t>          7 Mulas Y Culos</t>
  </si>
  <si>
    <t>          8 Cerdos</t>
  </si>
  <si>
    <t>          9 Aves De Corral</t>
  </si>
  <si>
    <t xml:space="preserve">          1 Bovino</t>
  </si>
  <si>
    <t>Tabla 10.21</t>
  </si>
  <si>
    <t>Tabla 3C4.1</t>
  </si>
  <si>
    <t>Ecuación 11.6</t>
  </si>
  <si>
    <t>EF1FR Factor de Emision para Fcr, Fon, Fsn arroz</t>
  </si>
  <si>
    <t>ÚLTIMA ACTUALIZACIÓN DE LA HERRAMIENTA</t>
  </si>
  <si>
    <t xml:space="preserve">Técnico sector Agricultura </t>
  </si>
  <si>
    <t xml:space="preserve"> Cultivo del arroz</t>
  </si>
  <si>
    <t>Suelos Agrícolas</t>
  </si>
  <si>
    <t xml:space="preserve"> Quema en el campo de residuos agrícolas</t>
  </si>
  <si>
    <t>Has.</t>
  </si>
  <si>
    <t>Superficie anual de cosecha</t>
  </si>
  <si>
    <t>Rendimiento anual de materia seca cosechada</t>
  </si>
  <si>
    <t>Factor Intermedio</t>
  </si>
  <si>
    <t>cálculo</t>
  </si>
  <si>
    <t xml:space="preserve">Fracción de materia seca del cultivo cosechado </t>
  </si>
  <si>
    <t>Directrices del IPCC de 2006 para los inventarios nacionales de gases de efecto invernadero, Vol 4, Cap 11 (Tabla 11.2; pág 11.19)</t>
  </si>
  <si>
    <t>Se usa el factor recomendado por las directrices IPCC y datos FAO que es del 10% para estimar superficie quemada</t>
  </si>
  <si>
    <t>Factor de combustión</t>
  </si>
  <si>
    <t>Directrices del IPCC de 2006 para los inventarios nacionales de gases de efecto invernadero, Vol 4, Cap 2 (Tabla 2.6)</t>
  </si>
  <si>
    <t>Directrices del IPCC de 2006 para los inventarios nacionales de gases de efecto invernadero, Vol 4, Cap 11 (Pág. 11.15)</t>
  </si>
  <si>
    <t>Nag(t) Contenido de N de los residuos aéreos del cultivo T</t>
  </si>
  <si>
    <t>Fracción de la superficie total dedicada al cultivo T que se renueva anualmente</t>
  </si>
  <si>
    <t>FracRemoc (t) Fracción de los residuos aéreos del cultivo T</t>
  </si>
  <si>
    <t>Se supone que no hay remoción</t>
  </si>
  <si>
    <t>Rbg-Bio Relación entre residuos subterráneos y rendimiento de cosecha del cultivo T</t>
  </si>
  <si>
    <t>Fam cantidad anual de N de estiércol animal aplicada a los suelos,</t>
  </si>
  <si>
    <t xml:space="preserve">Tabla 3C6 Ecuación 10.34 </t>
  </si>
  <si>
    <t>Se usa NMMS_Avb  no ajustada</t>
  </si>
  <si>
    <t>F ooa  cantidad anual de otros abonos orgánicos utilizados como fertilizantes</t>
  </si>
  <si>
    <t>Es necesario procesar la base de datos en SPSS y procesar unidades de medida en la variable fertilizantes organicas de la ESPAC</t>
  </si>
  <si>
    <t>3A1 Fermentacion Entérica</t>
  </si>
  <si>
    <t>CALCULO INCERTIDUMBRE POR SUBCATEGORIA Y CATEGORIA</t>
  </si>
  <si>
    <t>CALCULO INCERTIDUMBRE INVENTARIO</t>
  </si>
  <si>
    <t>SUBCATEGORIA</t>
  </si>
  <si>
    <t>CATEGORIA</t>
  </si>
  <si>
    <t>INVENTARIO/SECTOR (comprobación)</t>
  </si>
  <si>
    <t>INVENTARIO</t>
  </si>
  <si>
    <t>Emisiones Gg CO2 eq</t>
  </si>
  <si>
    <t>Incertidumbre Datos de actividad</t>
  </si>
  <si>
    <t>Incertidumbre Factores de emisión CO2</t>
  </si>
  <si>
    <t>Incertidumbre combinada</t>
  </si>
  <si>
    <t>Contribución de la varianza por subcategoria</t>
  </si>
  <si>
    <t>Incertidumbre subcategoria</t>
  </si>
  <si>
    <t>Contribución de la varianza por categoria</t>
  </si>
  <si>
    <t>Incertidumbre categoria</t>
  </si>
  <si>
    <t>Contribución de la varianza inventario/</t>
  </si>
  <si>
    <t xml:space="preserve">Incertidumbre inventario </t>
  </si>
  <si>
    <t>Contribución de la varianza por sub categoría  sobre el total del inventario (sector energía)</t>
  </si>
  <si>
    <t>INCERTIDUMBRE DEL INVENTARIO</t>
  </si>
  <si>
    <t>TOTAL INVENTARIO AGRICULTURA</t>
  </si>
  <si>
    <t>Justificación Datos de Actividad</t>
  </si>
  <si>
    <t>Justificación Factores de Emisión</t>
  </si>
  <si>
    <t>3A1 FERMENTACIÓN ENTÉRICA</t>
  </si>
  <si>
    <t>3A1 1  Ganado Bovino</t>
  </si>
  <si>
    <t>3A1 1a  Ganado Bovino Lechero</t>
  </si>
  <si>
    <t>3A1 1b  Ganado Bovino No lechero</t>
  </si>
  <si>
    <t>3A1 2  Búfalos</t>
  </si>
  <si>
    <t>3A1 3  Ovinos</t>
  </si>
  <si>
    <t>Ovinos</t>
  </si>
  <si>
    <t>3A1 4  Cabras</t>
  </si>
  <si>
    <t>3A1 5  Camélidos sudamericanos</t>
  </si>
  <si>
    <t>Camélidos sudamericanos</t>
  </si>
  <si>
    <t>3A1 6  Caballos</t>
  </si>
  <si>
    <t>3A1 7  Mulas y Asnos</t>
  </si>
  <si>
    <t>3A1 8  Cerdos</t>
  </si>
  <si>
    <t>3A1 9  Aves de corral</t>
  </si>
  <si>
    <t>Aves de corral</t>
  </si>
  <si>
    <t>3A2 1  Ganado Bovino</t>
  </si>
  <si>
    <t>3A2 1a  Ganado Bovino Lechero</t>
  </si>
  <si>
    <t>3A2 1b  Ganado Bovino No lechero</t>
  </si>
  <si>
    <t>3A2 2  Búfalos</t>
  </si>
  <si>
    <t>3A2 3  Ovinos</t>
  </si>
  <si>
    <t>3A2 4  Cabras</t>
  </si>
  <si>
    <t>3A2 5  Camélidos sudamericanos</t>
  </si>
  <si>
    <t>3A2 6  Caballos</t>
  </si>
  <si>
    <t>3A2 7  Mulas y Asnos</t>
  </si>
  <si>
    <t>3A2 8  Cerdos</t>
  </si>
  <si>
    <t>3A2 9  Aves de corral</t>
  </si>
  <si>
    <t>3C7 CULTIVO DE ARROZ</t>
  </si>
  <si>
    <t>TOTAL AGRICULTURA  (CH4)</t>
  </si>
  <si>
    <t>Directrices IPCC 2006 Vol4, Cap 5, Sección 5.5.4, pág. 5.60</t>
  </si>
  <si>
    <t>Directrices IPCC 2006 Vol4, Cap 10, Sección 10.5.5, Cuadro 10.20 pág. 10.71</t>
  </si>
  <si>
    <t>Directrices IPCC 2006 Vol. 4 Cap. 10 Sección 10.3.4, pág. 10.35 se toma el mayor valor recomendado</t>
  </si>
  <si>
    <t>Directrices IPCC 2006 Vol. 4 Cap. 10 Sección 10.3.4, pág. 10.35, Nota al pie Cuadro 10.10, se toma el mayor valor recomendado</t>
  </si>
  <si>
    <t>Directrices IPCC 2006 Vol. 4 Cap. 10 Sección 10.4.2, Cuadro 10.14, pág. 10.41 se toma el mayor valor recomendado</t>
  </si>
  <si>
    <t>Directrices IPCC 2006 Vol. 4 Capitulo 5, Sección 5.5.4, pág. 5.60 límite inferior tomado debido a que existen varios otros factores involucrados en el cálculo</t>
  </si>
  <si>
    <t>Frac</t>
  </si>
  <si>
    <t>Lim i</t>
  </si>
  <si>
    <t>Lim s</t>
  </si>
  <si>
    <t>Prom</t>
  </si>
  <si>
    <t>Var.</t>
  </si>
  <si>
    <t>3C6 1  Ganado Bovino</t>
  </si>
  <si>
    <t>3C6 1a  Ganado Bovino Lechero</t>
  </si>
  <si>
    <t>3C6 1b  Ganado Bovino No lechero</t>
  </si>
  <si>
    <t>3C6 2  Búfalos</t>
  </si>
  <si>
    <t>3C6 3  Ovinos</t>
  </si>
  <si>
    <t>3C6 4  Cabras</t>
  </si>
  <si>
    <t>3C6 5  Camélidos sudamericanos</t>
  </si>
  <si>
    <t>3C6 6  Caballos</t>
  </si>
  <si>
    <t>3C6 7  Mulas y Asnos</t>
  </si>
  <si>
    <t>3C6 8  Cerdos</t>
  </si>
  <si>
    <t>3C6 9  Aves de corral</t>
  </si>
  <si>
    <t>Tabla 3C6.1.1</t>
  </si>
  <si>
    <t>Directrices IPCC 2006 Vol4, Cap 10, Sección 10.5.5, Cuadro 10.22 pág. 10.71, Se calcula la incertidumbre individual por tipo de ganado tomando las diferencias porcentuales promedio por los sistemas mas representativos por tipo y transformándolo a % según tabla 3C6.1.1 adjunta</t>
  </si>
  <si>
    <t>Estimado sobre la base del porcentaje de fertilizantes importados que no serían destinados a usos agricolas</t>
  </si>
  <si>
    <t>Estimado a partir de la variabilidad del % de N contenido en la cantidad anual de otros abonos orgánicos utilizados como fertilizantes</t>
  </si>
  <si>
    <t>Estimado a partir del ajuste en las estimaciones de la ESPAC 2014 INEC para los cultivos especificos señalados</t>
  </si>
  <si>
    <t>Estimado a partir del nivel de incertidumbre esperado para el dato de FAO</t>
  </si>
  <si>
    <t>fertilizantes sinteticos</t>
  </si>
  <si>
    <t>estiércol animal, compost</t>
  </si>
  <si>
    <t>suelos minerales</t>
  </si>
  <si>
    <t>suelos orgánicos</t>
  </si>
  <si>
    <t>suelos pastoreados, orina y estiercol</t>
  </si>
  <si>
    <t>3C4 Emisiones Directas de Oxido Nitroso N2O por manejo de suelos</t>
  </si>
  <si>
    <t>3C4 Manejo de suelos -- fertilizantes sinteticos</t>
  </si>
  <si>
    <t>3C4 Manejo de suelos -- estiércol animal, compost</t>
  </si>
  <si>
    <t>3C4 Manejo de suelos -- residuos agrícolas</t>
  </si>
  <si>
    <t>3C4 Manejo de suelos -- suelos minerales</t>
  </si>
  <si>
    <t>3C4 Manejo de suelos -- suelos orgánicos</t>
  </si>
  <si>
    <t>3C4 Manejo de suelos -- suelos pastoreados, orina y estiercol</t>
  </si>
  <si>
    <t>Estimado en asociación a la pertinencia en la asignación de Fracción N excretado  en Praderas y pastizales TABLAS A4 a A8</t>
  </si>
  <si>
    <t>Var %</t>
  </si>
  <si>
    <t>Tabla 3C4.1.1</t>
  </si>
  <si>
    <t>Directrices IPCC 2006 Vol4, Cap 11, Sección 11.2.1.4 y Cuadro 11.1 pág. 11.12, Se calcula la incertidumbre por tipo de fuente tomando las diferencias porcentuales con el limite superior respecto del factor por defecto según tabla 3C4.1.1 adjunta</t>
  </si>
  <si>
    <t>Estimación de incertidumbre relacionada directamente con los datos de actividad tratados en 3C4</t>
  </si>
  <si>
    <t>3C5 Emisiones Indirectas de Oxido Nitroso N2O por manejo de suelos</t>
  </si>
  <si>
    <t>3C5 Manejo de suelos -- N por Volatilización</t>
  </si>
  <si>
    <t>3C5 Manejo de suelos -- N por Lixiviación</t>
  </si>
  <si>
    <t>Tabla 3C5.1.1</t>
  </si>
  <si>
    <t>Directrices IPCC 2006 Vol4, Cap 11, Sección 11.3.1, pág. 11.29, La incertidumbre es de -50% en base a aproximaciones que sugieren que las emisiones pueden significar menos de la mitad del valor máximo, que es el actual valor del factor</t>
  </si>
  <si>
    <t>Estimación basada en la incertidumbre sobre sesgo regional en la inforación proporcionada por la Asociación de caleros, dado que se concentra en provincias especificas y no en todo el país, además el % usado en agricultura es un punto sensible</t>
  </si>
  <si>
    <t>Estimación basada en los datos de importación de urea, dado que no se produce localmente, la incertidumbre se incrementa por el % de uso agricola designado</t>
  </si>
  <si>
    <t>Directrices IPCC 2006 Vol4, Cap 11, Sección 11.4.1, pág. 11.34, "las incertidumbres no pueden superar los factores de emisión por defecto porque este valor representa las emisiones máximas absolutas asociadas a la fertilización con urea"</t>
  </si>
  <si>
    <t>Directrices IPCC 2006 Vol4, Cap 11, Sección 11.2.2.3 y Cuadro 11.3 pág. 11.26, Se calcula la incertidumbre por tipo de fuente tomando las diferencias porcentuales con el limite superior respecto del factor por defecto según tabla 3C5.1.1 adjunta</t>
  </si>
  <si>
    <t>3C  SUELOS AGRÍCOLAS</t>
  </si>
  <si>
    <t>3C2 EMISIONES DE CO2 POR ENCALADO</t>
  </si>
  <si>
    <t>3C3 EMISIONES DE CO2 POR FERTILIZACIÓN CON UREA</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</si>
  <si>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</si>
  <si>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</si>
  <si>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Además para búfalos se incrementa un 10% de incertidumbre extra dado que la fuente principal fue una asociación gremial sin registros de existencias especificos.</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</si>
  <si>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Para el caso de aves de corral se adiciona un 10% extra debido a que el dato de actividad usado es ajustado (suavizado) dado que presentaba un salto excesivo incongruente.</t>
  </si>
  <si>
    <t>HOJA DE CÁLCULO PARA EL ANÁLISIS DE NIVEL 1 – EVALUACIÓN DE LA TENDENCIA</t>
  </si>
  <si>
    <t>Ecuación para la evaluación de nivel con Nivel 1</t>
  </si>
  <si>
    <t xml:space="preserve">Lx,t es la evaluación del nivel de la categoría de fuentes x en el año t.
La estimación de la categoría de fuentes (Ex,t ) es la estimación de las emisiones de la categoría de fuentes x en el año t.
La estimación total (Et) es la estimación del inventario total en el año t.
</t>
  </si>
  <si>
    <t>Metodología:
1. Definir las categorías de fuentes a evaluar para cada sector (Ver apartado 2- Producto 8) y completar columna A y B con el nombre de las Categorías de fuentes y el Gas de Efecto Invernadero correspondiente
2.  Completar las columnas C y D (marcadas en amarillo) con las emisiones estimadas para cada categoría de fuente en Gg de CO2 equivalente
3. El Excel calcula mediante las formulas de Evaluación de Nivel  los valores de las columnas E. En el caso que aparezca error de cálculo debido a que no se dispone de los datos iniciales (Columnas en amarillo),  Eliminar.
4. Ordenar las categorías de fuentes de mayor a menor en base a los resultados de la columna E
5. Calcular el acumulativo en la columna F
6. Las categorías principales de fuentes son aquellas que suman el 95% del valor acumulado</t>
  </si>
  <si>
    <t>HOJA DE CÁLCULO PARA EL ANÁLISIS DE NIVEL 1 – EVALUACIÓN DEL NIVEL</t>
  </si>
  <si>
    <t>B</t>
  </si>
  <si>
    <t>C</t>
  </si>
  <si>
    <t>D</t>
  </si>
  <si>
    <t>E</t>
  </si>
  <si>
    <t>Categorías de fuentes según IPCC</t>
  </si>
  <si>
    <t>Categorías de fuentes que deben evaluarse en el análisis de categorías principales de fuentes</t>
  </si>
  <si>
    <t>Gases de efecto invernadero directo</t>
  </si>
  <si>
    <t>Estimación del año base  (Gg equivalente de CO2)</t>
  </si>
  <si>
    <t>Estimación del año base  - Valor absoluto (Gg equivalente de CO2)</t>
  </si>
  <si>
    <t>Estimación del año en curso  (Gg equivalente de CO2)</t>
  </si>
  <si>
    <t>Estimación del año en curso - Valor absoluto (Gg equivalente de CO2)</t>
  </si>
  <si>
    <t>Evaluación del nivel</t>
  </si>
  <si>
    <t>Total acumulativo de la columna E</t>
  </si>
  <si>
    <t>No disponible</t>
  </si>
  <si>
    <t>TOTAL</t>
  </si>
  <si>
    <t>N2O Emisiones directas de la gestión de estiércol</t>
  </si>
  <si>
    <t>N2O Emisiones indirectas de la gestión de estiércol</t>
  </si>
  <si>
    <t>Fertilización de urea: Emisiones anuales de CO2</t>
  </si>
  <si>
    <t>N2O Emisiones Indirectas de Suelos Agrícolas</t>
  </si>
  <si>
    <t>Emisiones de CH4 de la producción de arroz</t>
  </si>
  <si>
    <t>Emisiones de CH4 por fermentación entérica en el ganado doméstico</t>
  </si>
  <si>
    <t>Encalado: Emisiones anuales de CO2-C de Encalado</t>
  </si>
  <si>
    <t>N2O Emisiones Directas de Suelos Agrícolas</t>
  </si>
  <si>
    <t>Gas Efecto Invernadero</t>
  </si>
  <si>
    <r>
      <t xml:space="preserve">Emisión Estiimada INGEI </t>
    </r>
    <r>
      <rPr>
        <b/>
        <sz val="12"/>
        <color indexed="9"/>
        <rFont val="Arial"/>
        <family val="2"/>
      </rPr>
      <t>2014</t>
    </r>
    <r>
      <rPr>
        <b/>
        <sz val="10"/>
        <color indexed="9"/>
        <rFont val="Arial"/>
        <family val="2"/>
      </rPr>
      <t xml:space="preserve">
 (Gg CO2eq)</t>
    </r>
  </si>
  <si>
    <t>RESULTADOS FINALES DEL INVENTARIO GEI SECTOR AGRICULTURA POR CATEGORÍA</t>
  </si>
  <si>
    <t>ANÁLISIS DE INCERTIDUMBRE SECTOR AGRICULTURA</t>
  </si>
  <si>
    <t>(kg cabeza-1 año-1)</t>
  </si>
  <si>
    <t>(Gg CH4 año-1)</t>
  </si>
  <si>
    <r>
      <t>CH</t>
    </r>
    <r>
      <rPr>
        <vertAlign val="subscript"/>
        <sz val="9"/>
        <rFont val="Arial"/>
        <family val="2"/>
      </rPr>
      <t>4 Enterica</t>
    </r>
    <r>
      <rPr>
        <sz val="9"/>
        <rFont val="Arial"/>
        <family val="2"/>
      </rPr>
      <t xml:space="preserve"> = N</t>
    </r>
    <r>
      <rPr>
        <vertAlign val="subscript"/>
        <sz val="9"/>
        <rFont val="Arial"/>
        <family val="2"/>
      </rPr>
      <t>(T)</t>
    </r>
    <r>
      <rPr>
        <sz val="9"/>
        <rFont val="Arial"/>
        <family val="2"/>
      </rPr>
      <t xml:space="preserve"> * EF</t>
    </r>
    <r>
      <rPr>
        <vertAlign val="subscript"/>
        <sz val="9"/>
        <rFont val="Arial"/>
        <family val="2"/>
      </rPr>
      <t>(T)</t>
    </r>
    <r>
      <rPr>
        <sz val="9"/>
        <rFont val="Arial"/>
        <family val="2"/>
      </rPr>
      <t xml:space="preserve"> * 10</t>
    </r>
    <r>
      <rPr>
        <vertAlign val="superscript"/>
        <sz val="9"/>
        <rFont val="Arial"/>
        <family val="2"/>
      </rPr>
      <t>-6</t>
    </r>
  </si>
  <si>
    <t>(Cabezas)</t>
  </si>
  <si>
    <r>
      <t>(1000 kg animal)</t>
    </r>
    <r>
      <rPr>
        <vertAlign val="superscript"/>
        <sz val="9"/>
        <rFont val="Arial"/>
        <family val="2"/>
      </rPr>
      <t>-1</t>
    </r>
    <r>
      <rPr>
        <sz val="9"/>
        <rFont val="Arial"/>
        <family val="2"/>
      </rPr>
      <t xml:space="preserve"> día</t>
    </r>
    <r>
      <rPr>
        <vertAlign val="superscript"/>
        <sz val="9"/>
        <rFont val="Arial"/>
        <family val="2"/>
      </rPr>
      <t>-1</t>
    </r>
    <r>
      <rPr>
        <sz val="9"/>
        <rFont val="Arial"/>
        <family val="2"/>
      </rPr>
      <t>]</t>
    </r>
  </si>
  <si>
    <r>
      <t>año</t>
    </r>
    <r>
      <rPr>
        <vertAlign val="superscript"/>
        <sz val="9"/>
        <rFont val="Arial"/>
        <family val="2"/>
      </rPr>
      <t>-1</t>
    </r>
    <r>
      <rPr>
        <sz val="9"/>
        <rFont val="Arial"/>
        <family val="2"/>
      </rPr>
      <t>)</t>
    </r>
  </si>
  <si>
    <t>SUPERFICIE COSECHADA</t>
  </si>
  <si>
    <t>PRODUCCION</t>
  </si>
  <si>
    <t>2012 (1)</t>
  </si>
  <si>
    <t>2014 (1)</t>
  </si>
  <si>
    <t>fermentación entérica en el ganado doméstico</t>
  </si>
  <si>
    <t>DATOS AJUSTADOS</t>
  </si>
  <si>
    <t>DATOS ORIGINALES</t>
  </si>
  <si>
    <t>Produccion nacional total artesanal</t>
  </si>
  <si>
    <t>Producción Industrias adicional</t>
  </si>
  <si>
    <t>Información de calizas Hayco, Calmosacorp, Incoreg, Pacifico</t>
  </si>
  <si>
    <t>Produción Total Nacional</t>
  </si>
  <si>
    <t>Porcentaje destinado para agricultura</t>
  </si>
  <si>
    <t>Producción de cal</t>
  </si>
  <si>
    <t>Piedra Caliza</t>
  </si>
  <si>
    <t>Dolomita</t>
  </si>
  <si>
    <t>ENCALADO</t>
  </si>
  <si>
    <t xml:space="preserve">No Lechero En crecimiento </t>
  </si>
  <si>
    <t xml:space="preserve">No Lechero Toros </t>
  </si>
  <si>
    <t>Ecuación 11.1</t>
  </si>
  <si>
    <t>tabla 5.11</t>
  </si>
  <si>
    <t>tabla 5.12</t>
  </si>
  <si>
    <t>tabla 5.13</t>
  </si>
  <si>
    <t>tabla 5.14</t>
  </si>
  <si>
    <t>3A1 y 3A2</t>
  </si>
  <si>
    <t>Ec. 10.19 y 10.20</t>
  </si>
  <si>
    <t>Ecuación 11.12</t>
  </si>
  <si>
    <t>Fermentación Entérica</t>
  </si>
  <si>
    <t>Tabla de Cálculos para Fermentación Entérica</t>
  </si>
  <si>
    <t>INDICE</t>
  </si>
  <si>
    <t>Cultivo de Arroz CH4</t>
  </si>
  <si>
    <t>Tabla de Cálculos para Cultivo de arroz CH4</t>
  </si>
  <si>
    <t>Suelos Agricolas N2O Directo</t>
  </si>
  <si>
    <t>Tabla de Cálculos para Suelos Agricolas N2O - Directo</t>
  </si>
  <si>
    <t>Anexo 3C4</t>
  </si>
  <si>
    <t>Tabla de Cálculos complementarios para Suelos Agricolas N2O - Directo</t>
  </si>
  <si>
    <t>Suelos Agricolas N2O Indirecto</t>
  </si>
  <si>
    <t>Tabla de Cálculos para Suelos Agricolas N2O - Indirecto</t>
  </si>
  <si>
    <t>Emisiones CO2 por Encalado</t>
  </si>
  <si>
    <t>Tabla de Cálculos para CO2 por Encalado</t>
  </si>
  <si>
    <t>Emisiones CO2 por Aplicación de Urea</t>
  </si>
  <si>
    <t>Tabla de Cálculos para CO2 por Aplicación de Urea</t>
  </si>
  <si>
    <t>RESULTADOS</t>
  </si>
  <si>
    <t>Tabla compilatoria de resultados finales CO2 Eq por categoria</t>
  </si>
  <si>
    <t>Tabla de cálculo de las categorías Principales sectorial</t>
  </si>
  <si>
    <t>Especialista Sector Agricultura: Roberto Lucero</t>
  </si>
  <si>
    <t>Datos de Actividad</t>
  </si>
  <si>
    <t>Tabla Compilatoria de los Datos de Actividad</t>
  </si>
  <si>
    <t>Fermentación Entérica - Emisiones de CH4 Ganado lechero</t>
  </si>
  <si>
    <t>Fermentación Entérica - Emisiones de CH4 Ganado no lechero Toros</t>
  </si>
  <si>
    <t>Fermentación Entérica - Emisiones de CH4 Ganado no lechero Vacas</t>
  </si>
  <si>
    <t>Fermentación Entérica - Emisiones de CH4 Ganado no lechero en crecimiento</t>
  </si>
  <si>
    <t>Fermentación Entérica - Emisiones de CH4 Resto de Categorias de Ganado (No Bovinos)</t>
  </si>
  <si>
    <t>Manejo de Estiercol - Emisiones de CH4 Ganado lechero</t>
  </si>
  <si>
    <t>Manejo de Estiercol - Emisiones de CH4 Ganado no lechero Toros</t>
  </si>
  <si>
    <t>Manejo de Estiercol - Emisiones de CH4 Ganado no lechero Vacas</t>
  </si>
  <si>
    <t>Manejo de Estiercol - Emisiones de CH4 Ganado no lechero en crecimiento</t>
  </si>
  <si>
    <t>Manejo de Estiercol - Emisiones de CH4 Resto de Categorias de Ganado (No Bovinos)</t>
  </si>
  <si>
    <t>Manejo de Estiercol - Emisiones Directas de N2O Ganado lechero</t>
  </si>
  <si>
    <t>Manejo de Estiercol - Emisiones Directas de N2O Ganado no lechero Toros</t>
  </si>
  <si>
    <t>Manejo de Estiercol - Emisiones Directas de N2O Ganado no lechero Vacas</t>
  </si>
  <si>
    <t>Manejo de Estiercol - Emisiones Directas de N2O Ganado no lechero en crecimiento</t>
  </si>
  <si>
    <t>Manejo de Estiercol - Emisiones Directas de N2O Resto de Categorias de Ganado (No Bovinos)</t>
  </si>
  <si>
    <t>#</t>
  </si>
  <si>
    <t>Manejo de Estiercol - Emisiones Indirectas de N2O Ganado lechero</t>
  </si>
  <si>
    <t>Manejo de Estiercol - Emisiones Indirectas de N2O Ganado no lechero Toros</t>
  </si>
  <si>
    <t>Manejo de Estiercol - Emisiones Indirectas de N2O Ganado no lechero Vacas</t>
  </si>
  <si>
    <t>Manejo de Estiercol - Emisiones Indirectas de N2O Ganado no lechero en crecimiento</t>
  </si>
  <si>
    <t>Manejo de Estiercol - Emisiones Indirectas de N2O Resto de Categorias de Ganado (No Bovinos)</t>
  </si>
  <si>
    <t>Cultivo de Arroz - Emisiones de CH4</t>
  </si>
  <si>
    <t>Suelos Agrícolas - Emisiones Directas N2O Fertilizantes sintéticos</t>
  </si>
  <si>
    <t>Suelos Agrícolas - Emisiones Directas N2O Residuos Orgánicos</t>
  </si>
  <si>
    <t>Suelos Agrícolas - Emisiones Directas N2O Residuos Agrícolas</t>
  </si>
  <si>
    <t>Suelos Agrícolas - Emisiones Directas N2O Orina y estiércol en suelos</t>
  </si>
  <si>
    <t>Suelos Agrícolas - Emisiones Indirectas N2O Volatilización</t>
  </si>
  <si>
    <t>Suelos Agrícolas - Emisiones Indirectas N2O Lixiviación</t>
  </si>
  <si>
    <t>Encalado - Emisiones de CO2</t>
  </si>
  <si>
    <t>CO3</t>
  </si>
  <si>
    <t>Estimación del año base  1994 (Gg equivalente de CO2)</t>
  </si>
  <si>
    <t>Estimación del año base 1994 - Valor absoluto (Gg equivalente de CO2)</t>
  </si>
  <si>
    <t xml:space="preserve">% De aporte a la tendencia </t>
  </si>
  <si>
    <t>Evaluación de tendencia FACTOR 1</t>
  </si>
  <si>
    <t>Evaluación de tendencia FACTOR 2</t>
  </si>
  <si>
    <t>Evaluación de tendencia FACTOR 3</t>
  </si>
  <si>
    <t>Evaluación de tendencia   RESULTADO Tx,t</t>
  </si>
  <si>
    <t>Codigo</t>
  </si>
  <si>
    <t>Total Acumulativo</t>
  </si>
  <si>
    <t>N20</t>
  </si>
  <si>
    <t>calculo intermedio</t>
  </si>
  <si>
    <t>G</t>
  </si>
  <si>
    <t>H</t>
  </si>
  <si>
    <t>HOJA DE CÁLCULO PARA EL ANÁLISIS DE NIVEL 1 – EVALUACIÓN DE TENDENCIA</t>
  </si>
  <si>
    <t>Categorías Principales Desagregado</t>
  </si>
  <si>
    <r>
      <t>Subcategorías para el año del informe</t>
    </r>
    <r>
      <rPr>
        <vertAlign val="superscript"/>
        <sz val="9"/>
        <rFont val="Arial"/>
        <family val="2"/>
      </rPr>
      <t>1</t>
    </r>
    <r>
      <rPr>
        <sz val="9"/>
        <rFont val="Arial"/>
        <family val="2"/>
      </rPr>
      <t>   (porcentaje de superficie por cada ecosistema)</t>
    </r>
  </si>
  <si>
    <t>SECTOR AGRICULTURA</t>
  </si>
  <si>
    <t>          7 Mulas y Asnos</t>
  </si>
  <si>
    <t>ESPAC 2016, tabla 28</t>
  </si>
  <si>
    <t>Ministerio de Agricultura, Agrocalidad, Regional Chimborazo</t>
  </si>
  <si>
    <t>ESPAC 2016, tabla 6</t>
  </si>
  <si>
    <t>ESPAC 2016, tabla 40</t>
  </si>
  <si>
    <t>ESPAC 2016, tabla 32-36</t>
  </si>
  <si>
    <t>ESPAC 2016, tabla 23</t>
  </si>
  <si>
    <t>ESPAC 2016, tabla 27</t>
  </si>
  <si>
    <t>ESPAC 2016, tabla 15</t>
  </si>
  <si>
    <t>ESPAC 2016, tabla 36</t>
  </si>
  <si>
    <t>BCE, UN COMTRADE, FAO (uso Agricola) 2016</t>
  </si>
  <si>
    <t>BCE, UN COMTRADE, FAO (uso Agricola) 2017</t>
  </si>
  <si>
    <t>BCE, UN COMTRADE, FAO (uso Agricola) 2018</t>
  </si>
  <si>
    <t>BCE, UN COMTRADE, FAO (uso Agricola) 2019</t>
  </si>
  <si>
    <t>BCE, UN COMTRADE, FAO (uso Agricola) 2020</t>
  </si>
  <si>
    <t>BCE, UN COMTRADE, FAO (uso Agricola) 2021</t>
  </si>
  <si>
    <t>BCE, UN COMTRADE, FAO (uso Agricola) 2023</t>
  </si>
  <si>
    <t>ESPAC 2016</t>
  </si>
  <si>
    <t>tabla 3C2.1, BCE, Empresas: Calmosacorp, Calcarios Huayco tabla oferta utilización industria minerales no metalicos</t>
  </si>
  <si>
    <t>https://fliphtml5.com/ijia/seet/basic</t>
  </si>
  <si>
    <t>ESPAC 2018</t>
  </si>
  <si>
    <t>ESPAC 2018, tabla 6</t>
  </si>
  <si>
    <t>ESPAC 2018, tabla 41</t>
  </si>
  <si>
    <t>ESPAC 2018, tabla 32-37</t>
  </si>
  <si>
    <t>ESPAC 2018, tabla 23</t>
  </si>
  <si>
    <t>ESPAC 2018, tabla 27</t>
  </si>
  <si>
    <t>ESPAC 2018, tabla 40</t>
  </si>
  <si>
    <t>ESPAC 2018, tabla 15</t>
  </si>
  <si>
    <t>ESPAC 2018, tabla 36</t>
  </si>
  <si>
    <t>Estimado a partir de la tasa de variación de la producción 2018 vs 2016</t>
  </si>
  <si>
    <t>Estimado a partir de la tasa de variación de la producción 2018 vs 2017</t>
  </si>
  <si>
    <t>Datos tomados directamente de la publicación oficial</t>
  </si>
  <si>
    <r>
      <t>Encalado: Emisiones anuales de CO</t>
    </r>
    <r>
      <rPr>
        <b/>
        <vertAlign val="subscript"/>
        <sz val="9"/>
        <rFont val="Arial"/>
        <family val="2"/>
      </rPr>
      <t>2</t>
    </r>
    <r>
      <rPr>
        <b/>
        <sz val="9"/>
        <rFont val="Arial"/>
        <family val="2"/>
      </rPr>
      <t>-C por Encalado</t>
    </r>
  </si>
  <si>
    <r>
      <t>M</t>
    </r>
    <r>
      <rPr>
        <b/>
        <vertAlign val="subscript"/>
        <sz val="9"/>
        <rFont val="Arial"/>
        <family val="2"/>
      </rPr>
      <t>piedra caliza</t>
    </r>
  </si>
  <si>
    <r>
      <t>EF</t>
    </r>
    <r>
      <rPr>
        <b/>
        <vertAlign val="subscript"/>
        <sz val="9"/>
        <rFont val="Arial"/>
        <family val="2"/>
      </rPr>
      <t>piedra caliza</t>
    </r>
  </si>
  <si>
    <r>
      <t>CO</t>
    </r>
    <r>
      <rPr>
        <b/>
        <vertAlign val="subscript"/>
        <sz val="9"/>
        <rFont val="Arial"/>
        <family val="2"/>
      </rPr>
      <t>2</t>
    </r>
    <r>
      <rPr>
        <b/>
        <sz val="9"/>
        <rFont val="Arial"/>
        <family val="2"/>
      </rPr>
      <t>-C Emision</t>
    </r>
  </si>
  <si>
    <r>
      <t>CO</t>
    </r>
    <r>
      <rPr>
        <vertAlign val="subscript"/>
        <sz val="9"/>
        <rFont val="Arial"/>
        <family val="2"/>
      </rPr>
      <t>2</t>
    </r>
    <r>
      <rPr>
        <sz val="9"/>
        <rFont val="Arial"/>
        <family val="2"/>
      </rPr>
      <t>-C Emision = M * EF</t>
    </r>
  </si>
  <si>
    <r>
      <t>Emisión Anual de Metano CH</t>
    </r>
    <r>
      <rPr>
        <vertAlign val="subscript"/>
        <sz val="9"/>
        <rFont val="Arial"/>
        <family val="2"/>
      </rPr>
      <t>4</t>
    </r>
    <r>
      <rPr>
        <sz val="9"/>
        <rFont val="Arial"/>
        <family val="2"/>
      </rPr>
      <t xml:space="preserve"> del cultivo de arroz</t>
    </r>
  </si>
  <si>
    <t>Tabla 11.3</t>
  </si>
  <si>
    <r>
      <t>(tons yr</t>
    </r>
    <r>
      <rPr>
        <vertAlign val="superscript"/>
        <sz val="9"/>
        <rFont val="Arial"/>
        <family val="2"/>
      </rPr>
      <t>-1</t>
    </r>
    <r>
      <rPr>
        <sz val="9"/>
        <rFont val="Arial"/>
        <family val="2"/>
      </rPr>
      <t>)</t>
    </r>
  </si>
  <si>
    <r>
      <t>(tons C yr</t>
    </r>
    <r>
      <rPr>
        <vertAlign val="superscript"/>
        <sz val="9"/>
        <rFont val="Arial"/>
        <family val="2"/>
      </rPr>
      <t>-1</t>
    </r>
    <r>
      <rPr>
        <sz val="9"/>
        <rFont val="Arial"/>
        <family val="2"/>
      </rPr>
      <t>)</t>
    </r>
  </si>
  <si>
    <t>por defecto 0.12</t>
  </si>
  <si>
    <t>por defecto 0.13</t>
  </si>
  <si>
    <t>INGEI 2016 (IPCC 2006)</t>
  </si>
  <si>
    <t>https://fliphtml5.com/ijia/nkej/basic</t>
  </si>
  <si>
    <t>ESPAC 1995</t>
  </si>
  <si>
    <t>INGEI 2012</t>
  </si>
  <si>
    <t>CNA 2010</t>
  </si>
  <si>
    <t>ESPAC 2006</t>
  </si>
  <si>
    <t>ESPAC 2010</t>
  </si>
  <si>
    <t>ESPAC 2012</t>
  </si>
  <si>
    <t>retroproyección estadistica según tendencia de fertilizantes sinteticos</t>
  </si>
  <si>
    <t>ESPAC 2014</t>
  </si>
  <si>
    <t>BCE, Comercio Exterior</t>
  </si>
  <si>
    <t>Estimación según datos sectoriales levantados Calmosacorp, Asociación de caleros 2014</t>
  </si>
  <si>
    <t>Estimación según datos sectoriales levantados Calmosacorp, Asociación de caleros 2014 proyección según Superin. Compañias a 2016</t>
  </si>
  <si>
    <t>Estimación según datos sectoriales levantados Calmosacorp, Asociación de caleros 2014 proyección según Superin. Compañias a 2018</t>
  </si>
  <si>
    <r>
      <t>CO</t>
    </r>
    <r>
      <rPr>
        <vertAlign val="subscript"/>
        <sz val="10"/>
        <color indexed="8"/>
        <rFont val="Times New Roman"/>
        <family val="1"/>
      </rPr>
      <t>2</t>
    </r>
  </si>
  <si>
    <t>Hernández, J.; López, V.; Valdiviezo, F. 2012. Efecto de cuatro enmiendas de suelos salinos en la productividad del cultivo de arroz (Oryza sativa L.) en la zona de Yaguachi. En: revista Agronoticias. Boletín No. 2 Guayaquil, EC. Facultad de Ciencias Agrarias de la Universidad de Guayaquil. pp. 15 -16.</t>
  </si>
  <si>
    <t>500 kg/Ha</t>
  </si>
  <si>
    <t>http://repositorio.ug.edu.ec/bitstream/redug/5615/1/APOLOPesantesJUAN.pdf</t>
  </si>
  <si>
    <t>Silvicultura y otros usos de la tierra</t>
  </si>
  <si>
    <t>Emisiones de la quema de biomasa en tierras de cultivo</t>
  </si>
  <si>
    <t>Código de categoria</t>
  </si>
  <si>
    <t>3C1b</t>
  </si>
  <si>
    <t>1 of 2</t>
  </si>
  <si>
    <t>Ecuación 2.27</t>
  </si>
  <si>
    <t>Tabla 3C1b.1</t>
  </si>
  <si>
    <t>Categoria de Uso de la Tierra</t>
  </si>
  <si>
    <r>
      <t>Subcategorias del año de reporte</t>
    </r>
    <r>
      <rPr>
        <vertAlign val="superscript"/>
        <sz val="9"/>
        <rFont val="Arial"/>
        <family val="2"/>
      </rPr>
      <t>1</t>
    </r>
  </si>
  <si>
    <t>Area Quemada</t>
  </si>
  <si>
    <r>
      <t>Masa de combustible disponible para la combustión</t>
    </r>
    <r>
      <rPr>
        <vertAlign val="superscript"/>
        <sz val="9"/>
        <rFont val="Arial"/>
        <family val="2"/>
      </rPr>
      <t>2</t>
    </r>
  </si>
  <si>
    <r>
      <t>Factor de Combustión</t>
    </r>
    <r>
      <rPr>
        <vertAlign val="superscript"/>
        <sz val="9"/>
        <rFont val="Arial"/>
        <family val="2"/>
      </rPr>
      <t>3</t>
    </r>
  </si>
  <si>
    <t>Factor de Emisión para cada GHG</t>
  </si>
  <si>
    <r>
      <t>Emisiones de CH</t>
    </r>
    <r>
      <rPr>
        <vertAlign val="subscript"/>
        <sz val="9"/>
        <rFont val="Arial"/>
        <family val="2"/>
      </rPr>
      <t>4</t>
    </r>
    <r>
      <rPr>
        <sz val="9"/>
        <rFont val="Arial"/>
        <family val="2"/>
      </rPr>
      <t xml:space="preserve"> </t>
    </r>
  </si>
  <si>
    <t>Emisiones de CO</t>
  </si>
  <si>
    <r>
      <t>Emisiones de N</t>
    </r>
    <r>
      <rPr>
        <vertAlign val="subscript"/>
        <sz val="9"/>
        <rFont val="Arial"/>
        <family val="2"/>
      </rPr>
      <t>2</t>
    </r>
    <r>
      <rPr>
        <sz val="9"/>
        <rFont val="Arial"/>
        <family val="2"/>
      </rPr>
      <t xml:space="preserve">O </t>
    </r>
  </si>
  <si>
    <r>
      <t>Emisiones de NO</t>
    </r>
    <r>
      <rPr>
        <vertAlign val="subscript"/>
        <sz val="9"/>
        <rFont val="Arial"/>
        <family val="2"/>
      </rPr>
      <t>x</t>
    </r>
    <r>
      <rPr>
        <sz val="9"/>
        <rFont val="Arial"/>
        <family val="2"/>
      </rPr>
      <t xml:space="preserve"> </t>
    </r>
  </si>
  <si>
    <t>Uso de la tierra inicial</t>
  </si>
  <si>
    <t>Uso de la tierra durante año de reporte</t>
  </si>
  <si>
    <t>[g GHG</t>
  </si>
  <si>
    <t>Biomasa Quemada</t>
  </si>
  <si>
    <t>Superficie cosechada</t>
  </si>
  <si>
    <t>Superficie quemada</t>
  </si>
  <si>
    <r>
      <t>(kg dm burnt)</t>
    </r>
    <r>
      <rPr>
        <vertAlign val="superscript"/>
        <sz val="9"/>
        <rFont val="Arial"/>
        <family val="2"/>
      </rPr>
      <t>-1</t>
    </r>
    <r>
      <rPr>
        <sz val="9"/>
        <rFont val="Arial"/>
        <family val="2"/>
      </rPr>
      <t>]</t>
    </r>
  </si>
  <si>
    <t>Ton / Ha</t>
  </si>
  <si>
    <t>Ha</t>
  </si>
  <si>
    <t> (Tabla 2.4)</t>
  </si>
  <si>
    <t>Tabla 2.6</t>
  </si>
  <si>
    <t>Tabla 2.5</t>
  </si>
  <si>
    <r>
      <t>L</t>
    </r>
    <r>
      <rPr>
        <vertAlign val="subscript"/>
        <sz val="9"/>
        <rFont val="Arial"/>
        <family val="2"/>
      </rPr>
      <t>fire</t>
    </r>
    <r>
      <rPr>
        <sz val="9"/>
        <rFont val="Arial"/>
        <family val="2"/>
      </rPr>
      <t>-CH</t>
    </r>
    <r>
      <rPr>
        <vertAlign val="subscript"/>
        <sz val="9"/>
        <rFont val="Arial"/>
        <family val="2"/>
      </rPr>
      <t>4</t>
    </r>
    <r>
      <rPr>
        <sz val="9"/>
        <rFont val="Arial"/>
        <family val="2"/>
      </rPr>
      <t xml:space="preserve"> =</t>
    </r>
  </si>
  <si>
    <r>
      <t>L</t>
    </r>
    <r>
      <rPr>
        <vertAlign val="subscript"/>
        <sz val="9"/>
        <rFont val="Arial"/>
        <family val="2"/>
      </rPr>
      <t>fire</t>
    </r>
    <r>
      <rPr>
        <sz val="9"/>
        <rFont val="Arial"/>
        <family val="2"/>
      </rPr>
      <t>-CO =</t>
    </r>
  </si>
  <si>
    <r>
      <t>L</t>
    </r>
    <r>
      <rPr>
        <vertAlign val="subscript"/>
        <sz val="9"/>
        <rFont val="Arial"/>
        <family val="2"/>
      </rPr>
      <t>fire</t>
    </r>
    <r>
      <rPr>
        <sz val="9"/>
        <rFont val="Arial"/>
        <family val="2"/>
      </rPr>
      <t>-N</t>
    </r>
    <r>
      <rPr>
        <vertAlign val="subscript"/>
        <sz val="9"/>
        <rFont val="Arial"/>
        <family val="2"/>
      </rPr>
      <t>2</t>
    </r>
    <r>
      <rPr>
        <sz val="9"/>
        <rFont val="Arial"/>
        <family val="2"/>
      </rPr>
      <t>O =</t>
    </r>
  </si>
  <si>
    <r>
      <t>L</t>
    </r>
    <r>
      <rPr>
        <vertAlign val="subscript"/>
        <sz val="9"/>
        <rFont val="Arial"/>
        <family val="2"/>
      </rPr>
      <t>fire</t>
    </r>
    <r>
      <rPr>
        <sz val="9"/>
        <rFont val="Arial"/>
        <family val="2"/>
      </rPr>
      <t>-NO</t>
    </r>
    <r>
      <rPr>
        <vertAlign val="subscript"/>
        <sz val="9"/>
        <rFont val="Arial"/>
        <family val="2"/>
      </rPr>
      <t>x</t>
    </r>
    <r>
      <rPr>
        <sz val="9"/>
        <rFont val="Arial"/>
        <family val="2"/>
      </rPr>
      <t xml:space="preserve"> =</t>
    </r>
  </si>
  <si>
    <r>
      <t>A * M</t>
    </r>
    <r>
      <rPr>
        <vertAlign val="subscript"/>
        <sz val="9"/>
        <rFont val="Arial"/>
        <family val="2"/>
      </rPr>
      <t>B</t>
    </r>
    <r>
      <rPr>
        <sz val="9"/>
        <rFont val="Arial"/>
        <family val="2"/>
      </rPr>
      <t xml:space="preserve"> * C</t>
    </r>
    <r>
      <rPr>
        <vertAlign val="subscript"/>
        <sz val="9"/>
        <rFont val="Arial"/>
        <family val="2"/>
      </rPr>
      <t>f</t>
    </r>
    <r>
      <rPr>
        <sz val="9"/>
        <rFont val="Arial"/>
        <family val="2"/>
      </rPr>
      <t xml:space="preserve"> * G</t>
    </r>
    <r>
      <rPr>
        <vertAlign val="subscript"/>
        <sz val="9"/>
        <rFont val="Arial"/>
        <family val="2"/>
      </rPr>
      <t>ef</t>
    </r>
    <r>
      <rPr>
        <sz val="9"/>
        <rFont val="Arial"/>
        <family val="2"/>
      </rPr>
      <t xml:space="preserve"> * 10</t>
    </r>
    <r>
      <rPr>
        <vertAlign val="superscript"/>
        <sz val="9"/>
        <rFont val="Arial"/>
        <family val="2"/>
      </rPr>
      <t>-3</t>
    </r>
  </si>
  <si>
    <r>
      <t>M</t>
    </r>
    <r>
      <rPr>
        <b/>
        <vertAlign val="subscript"/>
        <sz val="9"/>
        <rFont val="Arial"/>
        <family val="2"/>
      </rPr>
      <t>B</t>
    </r>
  </si>
  <si>
    <r>
      <t>C</t>
    </r>
    <r>
      <rPr>
        <b/>
        <vertAlign val="subscript"/>
        <sz val="9"/>
        <rFont val="Arial"/>
        <family val="2"/>
      </rPr>
      <t>f</t>
    </r>
  </si>
  <si>
    <r>
      <t>G</t>
    </r>
    <r>
      <rPr>
        <b/>
        <vertAlign val="subscript"/>
        <sz val="9"/>
        <rFont val="Arial"/>
        <family val="2"/>
      </rPr>
      <t>ef</t>
    </r>
  </si>
  <si>
    <r>
      <t>L</t>
    </r>
    <r>
      <rPr>
        <b/>
        <vertAlign val="subscript"/>
        <sz val="9"/>
        <rFont val="Arial"/>
        <family val="2"/>
      </rPr>
      <t>fire</t>
    </r>
    <r>
      <rPr>
        <b/>
        <sz val="9"/>
        <rFont val="Arial"/>
        <family val="2"/>
      </rPr>
      <t>-CH</t>
    </r>
    <r>
      <rPr>
        <b/>
        <vertAlign val="subscript"/>
        <sz val="9"/>
        <rFont val="Arial"/>
        <family val="2"/>
      </rPr>
      <t>4</t>
    </r>
  </si>
  <si>
    <r>
      <t>L</t>
    </r>
    <r>
      <rPr>
        <b/>
        <vertAlign val="subscript"/>
        <sz val="9"/>
        <rFont val="Arial"/>
        <family val="2"/>
      </rPr>
      <t>fire</t>
    </r>
    <r>
      <rPr>
        <b/>
        <sz val="9"/>
        <rFont val="Arial"/>
        <family val="2"/>
      </rPr>
      <t>-CO</t>
    </r>
  </si>
  <si>
    <r>
      <t>L</t>
    </r>
    <r>
      <rPr>
        <b/>
        <vertAlign val="subscript"/>
        <sz val="9"/>
        <rFont val="Arial"/>
        <family val="2"/>
      </rPr>
      <t>fire</t>
    </r>
    <r>
      <rPr>
        <b/>
        <sz val="9"/>
        <rFont val="Arial"/>
        <family val="2"/>
      </rPr>
      <t>-N</t>
    </r>
    <r>
      <rPr>
        <b/>
        <vertAlign val="subscript"/>
        <sz val="9"/>
        <rFont val="Arial"/>
        <family val="2"/>
      </rPr>
      <t>2</t>
    </r>
    <r>
      <rPr>
        <b/>
        <sz val="9"/>
        <rFont val="Arial"/>
        <family val="2"/>
      </rPr>
      <t>O</t>
    </r>
  </si>
  <si>
    <r>
      <t>L</t>
    </r>
    <r>
      <rPr>
        <b/>
        <vertAlign val="subscript"/>
        <sz val="9"/>
        <rFont val="Arial"/>
        <family val="2"/>
      </rPr>
      <t>fire</t>
    </r>
    <r>
      <rPr>
        <b/>
        <sz val="9"/>
        <rFont val="Arial"/>
        <family val="2"/>
      </rPr>
      <t>-NO</t>
    </r>
    <r>
      <rPr>
        <b/>
        <vertAlign val="subscript"/>
        <sz val="9"/>
        <rFont val="Arial"/>
        <family val="2"/>
      </rPr>
      <t>x</t>
    </r>
  </si>
  <si>
    <t>CL</t>
  </si>
  <si>
    <r>
      <t>CH</t>
    </r>
    <r>
      <rPr>
        <vertAlign val="subscript"/>
        <sz val="9"/>
        <rFont val="Arial"/>
        <family val="2"/>
      </rPr>
      <t>3</t>
    </r>
    <r>
      <rPr>
        <sz val="10"/>
        <rFont val="Arial"/>
        <family val="2"/>
      </rPr>
      <t/>
    </r>
  </si>
  <si>
    <t>CO</t>
  </si>
  <si>
    <r>
      <t>N</t>
    </r>
    <r>
      <rPr>
        <vertAlign val="subscript"/>
        <sz val="9"/>
        <rFont val="Arial"/>
        <family val="2"/>
      </rPr>
      <t>2</t>
    </r>
    <r>
      <rPr>
        <sz val="9"/>
        <rFont val="Arial"/>
        <family val="2"/>
      </rPr>
      <t>O</t>
    </r>
  </si>
  <si>
    <r>
      <t>NO</t>
    </r>
    <r>
      <rPr>
        <vertAlign val="subscript"/>
        <sz val="9"/>
        <rFont val="Arial"/>
        <family val="2"/>
      </rPr>
      <t>x</t>
    </r>
  </si>
  <si>
    <r>
      <t>CH</t>
    </r>
    <r>
      <rPr>
        <vertAlign val="subscript"/>
        <sz val="9"/>
        <rFont val="Arial"/>
        <family val="2"/>
      </rPr>
      <t>4</t>
    </r>
  </si>
  <si>
    <r>
      <t>1</t>
    </r>
    <r>
      <rPr>
        <sz val="8"/>
        <rFont val="Times New Roman"/>
        <family val="1"/>
      </rPr>
      <t xml:space="preserve"> Para cada subcategoría, use líneas separadas para cada gas de efecto invernadero que no sea CO2.</t>
    </r>
  </si>
  <si>
    <r>
      <t>2</t>
    </r>
    <r>
      <rPr>
        <sz val="8"/>
        <rFont val="Times New Roman"/>
        <family val="1"/>
      </rPr>
      <t xml:space="preserve"> Cuando los datos para MB y Cf no están disponibles, se puede usar un valor predeterminado para la cantidad de combustible realmente quemado (MB * Cf) (Tabla 2.4). En este caso, MB toma el valor de la tabla, mientras que Cf debe ser 1.</t>
    </r>
  </si>
  <si>
    <t>MB Masa de combustible disponible para la combustión</t>
  </si>
  <si>
    <t>Directrices del IPCC de 2006 para los inventarios nacionales de gases de efecto invernadero, Vol 4, Cap 2 (Tabla 2.4)</t>
  </si>
  <si>
    <t>Cf Factor de Combustión</t>
  </si>
  <si>
    <t>Gef Factor de Emisión para cada GHG</t>
  </si>
  <si>
    <t>Directrices del IPCC de 2006 para los inventarios nacionales de gases de efecto invernadero, Vol 4, Cap 2 (Tabla 2.5)</t>
  </si>
  <si>
    <t>3C1</t>
  </si>
  <si>
    <t>CH4, N2O</t>
  </si>
  <si>
    <t>N2O, CH4</t>
  </si>
  <si>
    <t>3C1 EMISIONES POR QUEMA DE BIOMASA</t>
  </si>
  <si>
    <t xml:space="preserve">No Lechero Vacas </t>
  </si>
  <si>
    <t xml:space="preserve">Camélidos sudamericanos </t>
  </si>
  <si>
    <t>Ministerio de Agricultura, Agrocalidad, Regional Chimborazo. Para este dato se consideran alpacas, llamas, vicuñas, huarisos.</t>
  </si>
  <si>
    <t>retroproyección % fertilizante usado en cultivos de arroz dato ESPAC 2014 dato volumen puro de N</t>
  </si>
  <si>
    <t>retroproyección % fertilizante orgánico usado en cultivos de arroz dato ESPAC 2014</t>
  </si>
  <si>
    <t>ESPAC 2016, volumen de N para homologar unidades de medida procesado de la base SPSS</t>
  </si>
  <si>
    <t xml:space="preserve"> </t>
  </si>
  <si>
    <t>Estimación retroproyectada del calculo estadistico para el año 2014, dato calculado final. Basado en tendencias y tasas de variación sectoriales y de ventas y producción de las principales compañias de cal</t>
  </si>
  <si>
    <t>NOTA EXPLICATIVA CATEGORIA FERMENTACIÓN ENTÉRICA</t>
  </si>
  <si>
    <t>Emisiones de Metano por Fermentación Entérica y Gestión de Estiércol</t>
  </si>
  <si>
    <t>CH4 Emisiones por Gestión del Estiércol</t>
  </si>
  <si>
    <t>EMISIONES POR FERMENTACIÓN ENTÉRICA Y GESTIÓN DE ESTIÉRCOL</t>
  </si>
  <si>
    <t>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t>
  </si>
  <si>
    <t>Gestión de Estiércol: Emisiones Directas de N2O del Gestión de Estiércol</t>
  </si>
  <si>
    <t>Sistema de Gestión de Estiércol (MMS)1 (se desagrega a continuación de manera horizontal)</t>
  </si>
  <si>
    <t>Emisiones anuales directas de N2O por Gestión de estiércol</t>
  </si>
  <si>
    <t>GESTIÓN DE ESTIÉRCOL : EMISIONES DIRECTAS DE N2O</t>
  </si>
  <si>
    <t>Elaboración país</t>
  </si>
  <si>
    <t>Factor de emisión propio para bovinos</t>
  </si>
  <si>
    <t>NOTA EXPLICATIVA CATEGORIA CULTIVO DE ARROZ</t>
  </si>
  <si>
    <t>NOTA EXPLICATIVA CATEGORIA MANEJO DE SUELOS - DIRECTO</t>
  </si>
  <si>
    <t>Dato de Actividad</t>
  </si>
  <si>
    <t>Dato Calculado/ Derivado</t>
  </si>
  <si>
    <t>Se asume que todo el fertilizante en su aporte de nitrogeno es estandar según % detallados (basados en consulta a expertos INIAP y revisión bibliográfica de fichas técnicas de productos importados). La estadistica fue cotejada con fuentes adicionales como SENAE, MAG, UNA, FAO</t>
  </si>
  <si>
    <t>Se utilizan los principales cultivos que se asocian a la generación de volumenes considerables de residuos</t>
  </si>
  <si>
    <t>NOTA EXPLICATIVA CATEGORIA MANEJO DE SUELOS - DIRECTO (2)</t>
  </si>
  <si>
    <t>Se asume que este tipo de suelos estan concentrados mayormente en zonas climáticas templadas, característica general del país - según ficha técnica INEC</t>
  </si>
  <si>
    <t>NOTA EXPLICATIVA CÁLCULO DE RESIDUOS AGRÍCOLAS</t>
  </si>
  <si>
    <t>NOTA EXPLICATIVA CATEGORIA MANEJO DE SUELOS - INDIRECTO</t>
  </si>
  <si>
    <t>NOTA EXPLICATIVA CATEGORIA MANEJO DE SUELOS - INDIRECTO (2)</t>
  </si>
  <si>
    <t>Valor extrapolado del dato 2014</t>
  </si>
  <si>
    <t>NOTA EXPLICATIVA CATEGORIA ENCALADO</t>
  </si>
  <si>
    <t>Se confirma con empresas nacionales que no existe producción domestica de dolomita, todo el producto usado en el país es importado, el uso agrícola de este insumo es asumido de igual forma que la piedra caliza al 50%</t>
  </si>
  <si>
    <t>Se usa el dato de urea del BCE pero depurado en función del uso en agricultura según la FAO disponible en FAOSTAT "uso agricola", no existe producción nacional del fertilizante. La estadistica fue cotejada con fuentes adicionales como SENAE, MAG, UNA, FAO</t>
  </si>
  <si>
    <t>NOTA EXPLICATIVA CATEGORIA APLICACIÓN DE UREA</t>
  </si>
  <si>
    <t>NOTA EXPLICATIVA CATEGORIA QUEMA DE BIOMASA EN TIERRAS DE CULTIVO</t>
  </si>
  <si>
    <t>El dato de area quemada se obtiene de la tabla Tabla 3C4.1 en este libro de cálculo Anexo 3C4 en base al coeficiente de area quemada de la FAO 0,1</t>
  </si>
  <si>
    <t>NOTA ADICIONAL</t>
  </si>
  <si>
    <t>La categoría quema de biomasa en tierras de cultivo es integrada en el inventario de agricultura debido a que forma parte d ela categoría 3C y sobretodo contabiliza la generación de gases CH4 y N2O en tierras de cultivo mayormente presentes en agricultura que en UTCUTS</t>
  </si>
  <si>
    <t>Emisiones de CH4 del gestión de estiércol</t>
  </si>
  <si>
    <t>          5 Camélidos sudamericanos</t>
  </si>
  <si>
    <r>
      <t>[tons of C (ton. De dolomita)</t>
    </r>
    <r>
      <rPr>
        <vertAlign val="superscript"/>
        <sz val="8"/>
        <rFont val="Arial"/>
        <family val="2"/>
      </rPr>
      <t>-1</t>
    </r>
    <r>
      <rPr>
        <sz val="8"/>
        <rFont val="Arial"/>
        <family val="2"/>
      </rPr>
      <t>]</t>
    </r>
  </si>
  <si>
    <r>
      <t>CO</t>
    </r>
    <r>
      <rPr>
        <vertAlign val="subscript"/>
        <sz val="9"/>
        <rFont val="Arial"/>
        <family val="2"/>
      </rPr>
      <t>2</t>
    </r>
    <r>
      <rPr>
        <sz val="9"/>
        <rFont val="Arial"/>
        <family val="2"/>
      </rPr>
      <t>-C Emision = (M</t>
    </r>
    <r>
      <rPr>
        <vertAlign val="subscript"/>
        <sz val="9"/>
        <rFont val="Arial"/>
        <family val="2"/>
      </rPr>
      <t>caliza</t>
    </r>
    <r>
      <rPr>
        <sz val="9"/>
        <rFont val="Arial"/>
        <family val="2"/>
      </rPr>
      <t xml:space="preserve"> * EFcaliza) + (M</t>
    </r>
    <r>
      <rPr>
        <vertAlign val="subscript"/>
        <sz val="9"/>
        <rFont val="Arial"/>
        <family val="2"/>
      </rPr>
      <t>Dolomita</t>
    </r>
    <r>
      <rPr>
        <sz val="9"/>
        <rFont val="Arial"/>
        <family val="2"/>
      </rPr>
      <t xml:space="preserve"> * EF</t>
    </r>
    <r>
      <rPr>
        <vertAlign val="subscript"/>
        <sz val="9"/>
        <rFont val="Arial"/>
        <family val="2"/>
      </rPr>
      <t>Dolomita</t>
    </r>
    <r>
      <rPr>
        <sz val="9"/>
        <rFont val="Arial"/>
        <family val="2"/>
      </rPr>
      <t>)</t>
    </r>
  </si>
  <si>
    <r>
      <t>M</t>
    </r>
    <r>
      <rPr>
        <b/>
        <vertAlign val="subscript"/>
        <sz val="9"/>
        <rFont val="Arial"/>
        <family val="2"/>
      </rPr>
      <t>dolomita</t>
    </r>
  </si>
  <si>
    <r>
      <t>EF</t>
    </r>
    <r>
      <rPr>
        <b/>
        <vertAlign val="subscript"/>
        <sz val="9"/>
        <rFont val="Arial"/>
        <family val="2"/>
      </rPr>
      <t>Dolomita</t>
    </r>
  </si>
  <si>
    <t xml:space="preserve">Piedra Caliza total  </t>
  </si>
  <si>
    <t>EFPiedra caliza. Factor de emisión cal en piedra</t>
  </si>
  <si>
    <r>
      <t>CO</t>
    </r>
    <r>
      <rPr>
        <b/>
        <vertAlign val="subscript"/>
        <sz val="9"/>
        <rFont val="Arial"/>
        <family val="2"/>
      </rPr>
      <t>2</t>
    </r>
    <r>
      <rPr>
        <b/>
        <sz val="9"/>
        <rFont val="Arial"/>
        <family val="2"/>
      </rPr>
      <t>-C Emisión</t>
    </r>
  </si>
  <si>
    <t>(tons CH4)</t>
  </si>
  <si>
    <t>(tons CO)</t>
  </si>
  <si>
    <t>(tons N2O)</t>
  </si>
  <si>
    <t>(tons NOx)</t>
  </si>
  <si>
    <t>3A2  Gestión de estiércol  DIRECTO</t>
  </si>
  <si>
    <t>3C6  Gestión de estiércol INDIRECTO</t>
  </si>
  <si>
    <t>3C7  Cultivo de Arroz</t>
  </si>
  <si>
    <t xml:space="preserve">          4  Otro</t>
  </si>
  <si>
    <t>3C4-5 Suelos Agricolas</t>
  </si>
  <si>
    <t>4 N2O Emisiones Indirectas de Suelos Agrícolas (2)</t>
  </si>
  <si>
    <t>1 N2O Emisiones Directas de Suelos Agrícolas (1)</t>
  </si>
  <si>
    <t>2 N2O Emisiones Directas de Suelos Agrícolas (2)</t>
  </si>
  <si>
    <t>3 N2O Emisiones Indirectas de Suelos Agrícolas (1)</t>
  </si>
  <si>
    <t>3C3  Fertlización con Urea</t>
  </si>
  <si>
    <t>3C2 Uso de la Cal (Encalado)</t>
  </si>
  <si>
    <t>3C1  Quema de biomasa</t>
  </si>
  <si>
    <r>
      <t>Dióxido de Carbono (CO</t>
    </r>
    <r>
      <rPr>
        <vertAlign val="subscript"/>
        <sz val="10"/>
        <rFont val="Arial"/>
        <family val="2"/>
      </rPr>
      <t>2</t>
    </r>
    <r>
      <rPr>
        <sz val="10"/>
        <rFont val="Arial"/>
        <family val="2"/>
      </rPr>
      <t xml:space="preserve">) </t>
    </r>
  </si>
  <si>
    <r>
      <t>Metano (CH</t>
    </r>
    <r>
      <rPr>
        <vertAlign val="subscript"/>
        <sz val="10"/>
        <rFont val="Arial"/>
        <family val="2"/>
      </rPr>
      <t>4</t>
    </r>
    <r>
      <rPr>
        <sz val="10"/>
        <rFont val="Arial"/>
        <family val="2"/>
      </rPr>
      <t>)</t>
    </r>
  </si>
  <si>
    <r>
      <t>Óxido Nitroso  (N</t>
    </r>
    <r>
      <rPr>
        <vertAlign val="subscript"/>
        <sz val="10"/>
        <rFont val="Arial"/>
        <family val="2"/>
      </rPr>
      <t>2</t>
    </r>
    <r>
      <rPr>
        <sz val="10"/>
        <rFont val="Arial"/>
        <family val="2"/>
      </rPr>
      <t>0)</t>
    </r>
  </si>
  <si>
    <t>Gestión de Estércol N2O Directo</t>
  </si>
  <si>
    <t>Gestión de Estércol N2O Indirecto</t>
  </si>
  <si>
    <t>Gestión de Estiércol CH4</t>
  </si>
  <si>
    <t>Quema de Biomasa</t>
  </si>
  <si>
    <t>Tabla de Cálculos para N2O, CH4 por quema de biomasa</t>
  </si>
  <si>
    <r>
      <t>[tons de C (ton de piedra caliza)</t>
    </r>
    <r>
      <rPr>
        <vertAlign val="superscript"/>
        <sz val="9"/>
        <rFont val="Arial"/>
        <family val="2"/>
      </rPr>
      <t>-1</t>
    </r>
    <r>
      <rPr>
        <sz val="9"/>
        <rFont val="Arial"/>
        <family val="2"/>
      </rPr>
      <t>]</t>
    </r>
  </si>
  <si>
    <t>3A2 Gestión de Estiércol</t>
  </si>
  <si>
    <t>3A2 Gestión de Estiércol N02 DIRECTO</t>
  </si>
  <si>
    <t>3C6  Gestión de Estiércol NO2 INDIRECTO</t>
  </si>
  <si>
    <t xml:space="preserve">          1 Bovinos</t>
  </si>
  <si>
    <t xml:space="preserve">FUENTES DE GASES DE INVERNADERO </t>
  </si>
  <si>
    <t xml:space="preserve">Categorías de fuentes </t>
  </si>
  <si>
    <t>Suma</t>
  </si>
  <si>
    <t>Tabla de Cálculos para Gestión  de Estércol CH4</t>
  </si>
  <si>
    <t>Tabla de Cálculos para Gestión  de Estércol N2O - Directo</t>
  </si>
  <si>
    <t>Tabla de Cálculos para Gestión  de Estércol N2O - Indirecto</t>
  </si>
  <si>
    <t xml:space="preserve"> Fermentación Entérica / Gestión del estiércol</t>
  </si>
  <si>
    <t>Ton</t>
  </si>
  <si>
    <t>Caña de Azúcar</t>
  </si>
  <si>
    <t>Las mejoras en la estimación de las emisiones de CH4 del cultivo de arroz incluyen actualizaciones sobre lo siguiente: (i) línea de base</t>
  </si>
  <si>
    <t>factor de emisión (EFc) a escala global (con nuevos valores predeterminados a escala regional); (ii) factores de escala para el agua</t>
  </si>
  <si>
    <t>regímenes antes y durante los períodos de cultivo; y (iii) factores de conversión predeterminados para diferentes tipos de</t>
  </si>
  <si>
    <t>enmiendas orgánicas. Se proporciona una nueva tabla sobre los períodos de cultivo predeterminados, a escala global y regional, y una</t>
  </si>
  <si>
    <t>Nueva sección que muestra un ejemplo de cómo implementar el método de Nivel 1. También se incluye una caja nueva en buen estado.</t>
  </si>
  <si>
    <t>Guía práctica para desarrollar EFc.</t>
  </si>
  <si>
    <t>CONAVE</t>
  </si>
  <si>
    <t>Código del ámbito</t>
  </si>
  <si>
    <t>Ámbito</t>
  </si>
  <si>
    <t>Código del área (M49)</t>
  </si>
  <si>
    <t>Área</t>
  </si>
  <si>
    <t>Código del elemento</t>
  </si>
  <si>
    <t>Elemento</t>
  </si>
  <si>
    <t>Código del producto</t>
  </si>
  <si>
    <t>Producto</t>
  </si>
  <si>
    <t>Código del año</t>
  </si>
  <si>
    <t>Año</t>
  </si>
  <si>
    <t>Valor</t>
  </si>
  <si>
    <t>Símbolo</t>
  </si>
  <si>
    <t>Descripción del Símbolo</t>
  </si>
  <si>
    <t>Nota</t>
  </si>
  <si>
    <t>Maíz Duro Choclo solo</t>
  </si>
  <si>
    <t>Maíz Duro Choclo asociado</t>
  </si>
  <si>
    <t>Maíz Suave  Choclo Solo</t>
  </si>
  <si>
    <t>Maíz Suave  Choclo Asociado</t>
  </si>
  <si>
    <t>Maíz Suave Seco solo</t>
  </si>
  <si>
    <t>Maíz Suave Seco Asociado</t>
  </si>
  <si>
    <t>Sierra</t>
  </si>
  <si>
    <t xml:space="preserve">Costa </t>
  </si>
  <si>
    <t>Amazonia</t>
  </si>
  <si>
    <t xml:space="preserve">Estimación según datos de CONAVE </t>
  </si>
  <si>
    <t>ESPAC 1995, Desagregación por región estimada en base a las proporciones de años posteriores</t>
  </si>
  <si>
    <t>GANADO BOVINO</t>
  </si>
  <si>
    <t>OTROS TIPOS DE GANADO</t>
  </si>
  <si>
    <t>CNA 2000, tabla 6_00, Desagregación por región estimada en función de datos ESPAC años posteriores</t>
  </si>
  <si>
    <t>CNA Provincial 2000, tabla 35, Desagregación por región estimada en función de datos ESPAC años posteriores</t>
  </si>
  <si>
    <t>CNA Provincial 2000, tabla 36</t>
  </si>
  <si>
    <t>CNA Provincial 2000, tabla 37</t>
  </si>
  <si>
    <t>Estimación según datos MAG Chimborazo</t>
  </si>
  <si>
    <t>ESPAC 2006, tabla 51_7</t>
  </si>
  <si>
    <t>ESPAC 2006, tabla 51_8</t>
  </si>
  <si>
    <t>ESPAC 2006, tabla 38_7</t>
  </si>
  <si>
    <t>ESPAC 2006, tabla 38_8</t>
  </si>
  <si>
    <t>ESPAC 2006, tabla 38_07</t>
  </si>
  <si>
    <t>ESPAC 2006, tabla 38_08</t>
  </si>
  <si>
    <t>ESPAC 2010, tabla 51_11</t>
  </si>
  <si>
    <t>ESPAC 2010, tabla 51_12</t>
  </si>
  <si>
    <t>ESPAC 2010, tabla 38_11</t>
  </si>
  <si>
    <t>ESPAC 2010, tabla 38_12</t>
  </si>
  <si>
    <t>ESPAC 2012, tabla 52</t>
  </si>
  <si>
    <t>ESPAC 2012, tabla 53</t>
  </si>
  <si>
    <t>ESPAC 2012, tabla 39</t>
  </si>
  <si>
    <t>ESPAC 2012, tabla 40</t>
  </si>
  <si>
    <t>ESPAC 2016, tabla 63</t>
  </si>
  <si>
    <t>ESPAC 2016, tabla 50</t>
  </si>
  <si>
    <t>ESPAC 2018 , tabla 66</t>
  </si>
  <si>
    <t>ESPAC 2018, tabla 50</t>
  </si>
  <si>
    <t>ESPAC 2020 , tabla 67</t>
  </si>
  <si>
    <t>ESPAC 2020, tabla 50</t>
  </si>
  <si>
    <t>ESPAC 2016 , tabla 57</t>
  </si>
  <si>
    <t>ESPAC 2018 , tabla 59</t>
  </si>
  <si>
    <t>ESPAC 2016 , tabla 56</t>
  </si>
  <si>
    <t>ESPAC 2018 , tabla 60</t>
  </si>
  <si>
    <t>ESPAC 2020 , tabla 60</t>
  </si>
  <si>
    <t>ESPAC 2016 , tabla 58</t>
  </si>
  <si>
    <t>ESPAC 2016 , tabla 59</t>
  </si>
  <si>
    <t>ESPAC 2016 , tabla 60</t>
  </si>
  <si>
    <t>ESPAC 2018 , tabla 57</t>
  </si>
  <si>
    <t>ESPAC 2020 , tabla 57</t>
  </si>
  <si>
    <t>ESPAC 2016 , tabla 63</t>
  </si>
  <si>
    <t>ESPAC 2018 , tabla 61,62</t>
  </si>
  <si>
    <t>ESPAC 2016 , tabla 64</t>
  </si>
  <si>
    <t>Datos de CONAVE</t>
  </si>
  <si>
    <t>ESPAC 2020 , tabla 61</t>
  </si>
  <si>
    <t>ESPAC 2021 , tabla 67</t>
  </si>
  <si>
    <t>ESPAC 2021, tabla 50</t>
  </si>
  <si>
    <t>ESPAC 2021 , tabla 61</t>
  </si>
  <si>
    <t>ESPAC 2021 , tabla 60</t>
  </si>
  <si>
    <t>ESPAC 2021 , tabla 57</t>
  </si>
  <si>
    <t>ESPAC 2021 , tabla 62,63</t>
  </si>
  <si>
    <t>ESPAC 2020 , tabla 62,63</t>
  </si>
  <si>
    <t>ESPAC 2022 , tabla 67</t>
  </si>
  <si>
    <t>ESPAC 2022, tabla 50</t>
  </si>
  <si>
    <t>ESPAC 2022 , tabla 60</t>
  </si>
  <si>
    <t>ESPAC 2022 , tabla 61</t>
  </si>
  <si>
    <t>ESPAC 2022 , tabla 57</t>
  </si>
  <si>
    <t>ESPAC 2022 , tabla 62,63</t>
  </si>
  <si>
    <t>ESPAC 2020, tabla 6</t>
  </si>
  <si>
    <t>ESPAC 2021, tabla 6</t>
  </si>
  <si>
    <t>ESPAC 2022, tabla 6</t>
  </si>
  <si>
    <t>ESPAC 2020</t>
  </si>
  <si>
    <t>f</t>
  </si>
  <si>
    <t>ESPAC 2022</t>
  </si>
  <si>
    <t>ESPAC 2021</t>
  </si>
  <si>
    <t>Emisiones de Metano por Gestión de Estiércol</t>
  </si>
  <si>
    <r>
      <t>VS</t>
    </r>
    <r>
      <rPr>
        <b/>
        <vertAlign val="subscript"/>
        <sz val="9"/>
        <rFont val="Arial"/>
        <family val="2"/>
      </rPr>
      <t>(T,p)</t>
    </r>
  </si>
  <si>
    <t xml:space="preserve">(kg cabeza-1 año-1) (KG VS (1000 KG ANIMAL MASS)
-1
 DAY
-1
)  </t>
  </si>
  <si>
    <t>Tabla 10.13</t>
  </si>
  <si>
    <t>Excresión anual por cabeza  VS ratio</t>
  </si>
  <si>
    <r>
      <t>VS</t>
    </r>
    <r>
      <rPr>
        <b/>
        <vertAlign val="subscript"/>
        <sz val="9"/>
        <rFont val="Arial"/>
        <family val="2"/>
      </rPr>
      <t>(T,p)</t>
    </r>
    <r>
      <rPr>
        <b/>
        <sz val="9"/>
        <rFont val="Arial"/>
        <family val="2"/>
      </rPr>
      <t xml:space="preserve"> ratio</t>
    </r>
  </si>
  <si>
    <r>
      <t>TAM</t>
    </r>
    <r>
      <rPr>
        <b/>
        <vertAlign val="subscript"/>
        <sz val="9"/>
        <rFont val="Arial"/>
        <family val="2"/>
      </rPr>
      <t>(T,p)</t>
    </r>
  </si>
  <si>
    <t>VS ratio</t>
  </si>
  <si>
    <t>Tabla 10A.5</t>
  </si>
  <si>
    <t xml:space="preserve">Excresión anual por cabeza  VS </t>
  </si>
  <si>
    <t>Ecuación 10.22A</t>
  </si>
  <si>
    <t>Sistema manejo estiércol: Almacenaje de sólidos</t>
  </si>
  <si>
    <t>Sistema manejo estiércol: Compostaje</t>
  </si>
  <si>
    <t>Sistema manejo estiércol: Distribución diaria en pasturas</t>
  </si>
  <si>
    <t>Sistema manejo estiércol: Líquido/fango</t>
  </si>
  <si>
    <t>Otros</t>
  </si>
  <si>
    <t>Sistema manejo estiércol: Pasturas, sin manejo</t>
  </si>
  <si>
    <t>Tablas 10A.6 a 10A.9</t>
  </si>
  <si>
    <r>
      <t xml:space="preserve">Fracción del total anual de manejo de estiercol por tipo de sistema y tipo de ganado; ANIMAL WASTE MANAGEMENT SYSTEM </t>
    </r>
    <r>
      <rPr>
        <b/>
        <sz val="9"/>
        <rFont val="Arial"/>
        <family val="2"/>
      </rPr>
      <t xml:space="preserve">(AWMS) </t>
    </r>
  </si>
  <si>
    <t>Tabla 10.14  - 10.15</t>
  </si>
  <si>
    <r>
      <t xml:space="preserve">Factor de Emisión de Metano por tipo de sistema de manejo y tipo de ganado </t>
    </r>
    <r>
      <rPr>
        <b/>
        <sz val="9"/>
        <rFont val="Arial"/>
        <family val="2"/>
      </rPr>
      <t>(FE)</t>
    </r>
  </si>
  <si>
    <t>DATO DE ACTIVIDAD</t>
  </si>
  <si>
    <t>Dato propio del país según registros de proyecto GCI por región</t>
  </si>
  <si>
    <t>Dato propio del país según registros de proyecto GCI por región, suma grupos de bovinos menores a 2 años machos y hembras</t>
  </si>
  <si>
    <t xml:space="preserve">Valor por defecto directrices IPCC tabla 10A.5 </t>
  </si>
  <si>
    <t>Valor por defecto directrices IPCC tabla 10A.6</t>
  </si>
  <si>
    <t>Valor por defecto directrices IPCC tabla 10A.7</t>
  </si>
  <si>
    <t>Valor por defecto directrices IPCC tabla 10A.8</t>
  </si>
  <si>
    <t>Valor por defecto directrices IPCC tabla 10A.9</t>
  </si>
  <si>
    <t>Valor por defecto directrices IPCC tabla 10A.10</t>
  </si>
  <si>
    <t>Valor por defecto directrices IPCC tabla 10A.11</t>
  </si>
  <si>
    <t>Valor por defecto directrices IPCC tabla 10A.12</t>
  </si>
  <si>
    <t>Valor por defecto directrices IPCC tabla 10A.13</t>
  </si>
  <si>
    <t>Valor por defecto directrices IPCC tabla 10A.14</t>
  </si>
  <si>
    <t>Valor por defecto directrices IPCC tabla 10A.15</t>
  </si>
  <si>
    <t>Fracción AWMS</t>
  </si>
  <si>
    <t>Valor propio del país según registros proyecto GCI por región, se promedian modos de producción</t>
  </si>
  <si>
    <t>TIPO DE GANADO</t>
  </si>
  <si>
    <t>Valor por defecto Tablas 10A.6 a 10A.9 directrices IPCC V4, Otros al no ser relevante suma los demás sistemas no considerados individualmente</t>
  </si>
  <si>
    <t>FACTOR DE EMISIÓN</t>
  </si>
  <si>
    <t>Factor de emisión por defecto tablas 10.14 y 10.15 directrices IPCC V4, en algunos casos se asemejan factores según similitud de sistemas de manejo y tipo de clima por región</t>
  </si>
  <si>
    <t>Se obtiene por defecto de la tabla 10.13 directrices IPCC V4, para ganado de la sierra se considera productividad media, en tanto para las otras regiones se considera productividad baja</t>
  </si>
  <si>
    <t>NOTA EXPLICATIVA DE FUENTES Y OTRAS CONSIDERACIONES DE LOS DATOS</t>
  </si>
  <si>
    <t>Se obtiene por defecto de la tabla 10.13 directrices IPCC V4, para todas las regiones se considera productividad baja (relacionando pesos vivo)</t>
  </si>
  <si>
    <t>Se obtiene por defecto de la tabla 10.13 directrices IPCC V4, para todas las regiones se considera productividad baja (relacionando sistemas de producción referenciados en las directrices IPCC)</t>
  </si>
  <si>
    <t>Se obtiene por defecto de la tabla 10.13 directrices IPCC V4, para todas las regiones se considera productividad media (relacionando sistemas de producción referenciados en las directrices IPCC)</t>
  </si>
  <si>
    <t>Otros Sistemas de Manejo</t>
  </si>
  <si>
    <t>AWMS (%)</t>
  </si>
  <si>
    <r>
      <t>N</t>
    </r>
    <r>
      <rPr>
        <b/>
        <vertAlign val="subscript"/>
        <sz val="9"/>
        <rFont val="Arial"/>
        <family val="2"/>
      </rPr>
      <t>(T)</t>
    </r>
  </si>
  <si>
    <r>
      <t>N</t>
    </r>
    <r>
      <rPr>
        <b/>
        <vertAlign val="subscript"/>
        <sz val="9"/>
        <rFont val="Arial"/>
        <family val="2"/>
      </rPr>
      <t>rate(T)</t>
    </r>
  </si>
  <si>
    <r>
      <t>Nex</t>
    </r>
    <r>
      <rPr>
        <b/>
        <vertAlign val="subscript"/>
        <sz val="9"/>
        <rFont val="Arial"/>
        <family val="2"/>
      </rPr>
      <t>(T)</t>
    </r>
  </si>
  <si>
    <r>
      <t>CH</t>
    </r>
    <r>
      <rPr>
        <vertAlign val="subscript"/>
        <sz val="9"/>
        <rFont val="Arial"/>
        <family val="2"/>
      </rPr>
      <t>4</t>
    </r>
    <r>
      <rPr>
        <sz val="9"/>
        <rFont val="Arial"/>
        <family val="2"/>
      </rPr>
      <t xml:space="preserve"> </t>
    </r>
    <r>
      <rPr>
        <vertAlign val="subscript"/>
        <sz val="9"/>
        <rFont val="Arial"/>
        <family val="2"/>
      </rPr>
      <t>Estiércol</t>
    </r>
    <r>
      <rPr>
        <sz val="9"/>
        <rFont val="Arial"/>
        <family val="2"/>
      </rPr>
      <t xml:space="preserve"> = (N</t>
    </r>
    <r>
      <rPr>
        <vertAlign val="subscript"/>
        <sz val="9"/>
        <rFont val="Arial"/>
        <family val="2"/>
      </rPr>
      <t>(T)</t>
    </r>
    <r>
      <rPr>
        <sz val="9"/>
        <rFont val="Arial"/>
        <family val="2"/>
      </rPr>
      <t xml:space="preserve"> *Vs*AWMS* EF</t>
    </r>
    <r>
      <rPr>
        <vertAlign val="subscript"/>
        <sz val="9"/>
        <rFont val="Arial"/>
        <family val="2"/>
      </rPr>
      <t>(T))/(10^3)</t>
    </r>
  </si>
  <si>
    <t>N ratio</t>
  </si>
  <si>
    <t>Se obtiene por defecto de la tabla 10.19 directrices IPCC V4 CH 10, para ganado de la sierra se considera productividad media, en tanto para las otras regiones se considera productividad baja</t>
  </si>
  <si>
    <t>Se obtiene por defecto de la tabla 10.19 directrices IPCC V4, para todas las regiones se considera productividad media (relacionando sistemas de producción referenciados en las directrices IPCC)</t>
  </si>
  <si>
    <t>Se obtiene por defecto de la tabla 10.19 directrices IPCC V4, para todas las regiones se considera productividad baja (relacionando sistemas de producción referenciados en las directrices IPCC)</t>
  </si>
  <si>
    <t>Factor de emisión por defecto tablas 10.21 directrices IPCC V4, en algunos casos se asemejan factores según similitud de sistemas de manejo y tipo de clima por región</t>
  </si>
  <si>
    <t>(*) Para la variable de nitrogeno agregado vía co-digestión en sistemas de digestión anaeróbica no se cuentan con datos anuales nacionales, y aun cuando el Proyecto GCI detalla un % minimo de gestión de estiércol en estos sistemas para bovinos, el mismo es irrelevante respecto del total, por lo que se omite en la fórmula de cálculo</t>
  </si>
  <si>
    <r>
      <t xml:space="preserve">Cantidad de nitrógeno del estiércol que se pierde debido a la volatilización de NH3 y Nox                    </t>
    </r>
    <r>
      <rPr>
        <b/>
        <sz val="9"/>
        <rFont val="Arial"/>
        <family val="2"/>
      </rPr>
      <t>Frac Gas_MS</t>
    </r>
    <r>
      <rPr>
        <sz val="9"/>
        <rFont val="Arial"/>
        <family val="2"/>
      </rPr>
      <t xml:space="preserve">
 </t>
    </r>
  </si>
  <si>
    <t>Frac Gas_MS</t>
  </si>
  <si>
    <t>Frac leach_MS</t>
  </si>
  <si>
    <r>
      <t xml:space="preserve">Cantidad de nitrógeno del estiércol que se pierde debido a la lixiviación                                        </t>
    </r>
    <r>
      <rPr>
        <b/>
        <sz val="9"/>
        <rFont val="Arial"/>
        <family val="2"/>
      </rPr>
      <t>Frac leach_MS</t>
    </r>
    <r>
      <rPr>
        <sz val="9"/>
        <rFont val="Arial"/>
        <family val="2"/>
      </rPr>
      <t xml:space="preserve">
 </t>
    </r>
  </si>
  <si>
    <r>
      <t>Factor de emisión para emisiones indirectas de N</t>
    </r>
    <r>
      <rPr>
        <vertAlign val="subscript"/>
        <sz val="9"/>
        <rFont val="Arial"/>
        <family val="2"/>
      </rPr>
      <t>2</t>
    </r>
    <r>
      <rPr>
        <sz val="9"/>
        <rFont val="Arial"/>
        <family val="2"/>
      </rPr>
      <t xml:space="preserve">O-N por MMS </t>
    </r>
  </si>
  <si>
    <r>
      <t>EF</t>
    </r>
    <r>
      <rPr>
        <b/>
        <vertAlign val="subscript"/>
        <sz val="9"/>
        <rFont val="Times New Roman"/>
        <family val="1"/>
      </rPr>
      <t>4(S)</t>
    </r>
  </si>
  <si>
    <r>
      <t>EF</t>
    </r>
    <r>
      <rPr>
        <b/>
        <vertAlign val="subscript"/>
        <sz val="9"/>
        <rFont val="Times New Roman"/>
        <family val="1"/>
      </rPr>
      <t>5(S)</t>
    </r>
  </si>
  <si>
    <t>Factor por volatilización</t>
  </si>
  <si>
    <t>Factor por lixiviación</t>
  </si>
  <si>
    <t>Emisiones anuales indirectas de N2O por volatilización</t>
  </si>
  <si>
    <t>kg N yr-1</t>
  </si>
  <si>
    <t>Pérdidas de nitrógeno por volatilización</t>
  </si>
  <si>
    <t>Pérdidas de nitrógeno por lixiviación</t>
  </si>
  <si>
    <r>
      <t>Emisiones anuales indirectas de N</t>
    </r>
    <r>
      <rPr>
        <vertAlign val="subscript"/>
        <sz val="9"/>
        <rFont val="Arial"/>
        <family val="2"/>
      </rPr>
      <t>2</t>
    </r>
    <r>
      <rPr>
        <sz val="9"/>
        <rFont val="Arial"/>
        <family val="2"/>
      </rPr>
      <t xml:space="preserve">O </t>
    </r>
  </si>
  <si>
    <t>Emisiones anuales indirectas de N2O por lixiviación</t>
  </si>
  <si>
    <r>
      <t>NE</t>
    </r>
    <r>
      <rPr>
        <vertAlign val="subscript"/>
        <sz val="9"/>
        <rFont val="Arial"/>
        <family val="2"/>
      </rPr>
      <t>MMS</t>
    </r>
    <r>
      <rPr>
        <sz val="9"/>
        <rFont val="Arial"/>
        <family val="2"/>
      </rPr>
      <t xml:space="preserve"> * EF</t>
    </r>
    <r>
      <rPr>
        <vertAlign val="subscript"/>
        <sz val="9"/>
        <rFont val="Arial"/>
        <family val="2"/>
      </rPr>
      <t>4(S)</t>
    </r>
    <r>
      <rPr>
        <sz val="9"/>
        <rFont val="Arial"/>
        <family val="2"/>
      </rPr>
      <t xml:space="preserve"> * 44/28</t>
    </r>
  </si>
  <si>
    <r>
      <t>NE</t>
    </r>
    <r>
      <rPr>
        <vertAlign val="subscript"/>
        <sz val="9"/>
        <rFont val="Arial"/>
        <family val="2"/>
      </rPr>
      <t>MMS</t>
    </r>
    <r>
      <rPr>
        <sz val="9"/>
        <rFont val="Arial"/>
        <family val="2"/>
      </rPr>
      <t xml:space="preserve"> * EF</t>
    </r>
    <r>
      <rPr>
        <vertAlign val="subscript"/>
        <sz val="9"/>
        <rFont val="Arial"/>
        <family val="2"/>
      </rPr>
      <t>5(S)</t>
    </r>
    <r>
      <rPr>
        <sz val="9"/>
        <rFont val="Arial"/>
        <family val="2"/>
      </rPr>
      <t xml:space="preserve"> * 44/28</t>
    </r>
  </si>
  <si>
    <r>
      <t>N</t>
    </r>
    <r>
      <rPr>
        <b/>
        <vertAlign val="subscript"/>
        <sz val="9"/>
        <rFont val="Arial"/>
        <family val="2"/>
      </rPr>
      <t>2</t>
    </r>
    <r>
      <rPr>
        <b/>
        <sz val="9"/>
        <rFont val="Arial"/>
        <family val="2"/>
      </rPr>
      <t>O</t>
    </r>
    <r>
      <rPr>
        <b/>
        <vertAlign val="subscript"/>
        <sz val="9"/>
        <rFont val="Arial"/>
        <family val="2"/>
      </rPr>
      <t xml:space="preserve">g(mm) </t>
    </r>
  </si>
  <si>
    <r>
      <t>N</t>
    </r>
    <r>
      <rPr>
        <b/>
        <vertAlign val="subscript"/>
        <sz val="9"/>
        <rFont val="Arial"/>
        <family val="2"/>
      </rPr>
      <t>2</t>
    </r>
    <r>
      <rPr>
        <b/>
        <sz val="9"/>
        <rFont val="Arial"/>
        <family val="2"/>
      </rPr>
      <t>O</t>
    </r>
    <r>
      <rPr>
        <b/>
        <vertAlign val="subscript"/>
        <sz val="9"/>
        <rFont val="Arial"/>
        <family val="2"/>
      </rPr>
      <t xml:space="preserve">l(mm) </t>
    </r>
  </si>
  <si>
    <t>Fracción volatilización</t>
  </si>
  <si>
    <t>Fracción lixiviación</t>
  </si>
  <si>
    <t>FACTOR DE EMISIÓN volatilización</t>
  </si>
  <si>
    <t>FACTOR DE EMISIÓN lixiviación</t>
  </si>
  <si>
    <t>Fracción correspondiente a cada sistema de gestión, considerando datos promedio según diferencias de las 3 regiones del país, datos por defecto tabla 10.22 V4 CH10</t>
  </si>
  <si>
    <t>Fracción correspondiente a cada sistema de gestión, considerando datos promedio según diferencias de las 3 regiones del país, datos por defecto tabla 10.22 V4 CH11</t>
  </si>
  <si>
    <t>Fracción correspondiente a cada sistema de gestión, considerando datos promedio según diferencias de las 3 regiones del país, datos por defecto tabla 10.22 V4 CH12</t>
  </si>
  <si>
    <t>Fracción correspondiente a cada sistema de gestión, considerando valores promedio, datos por defecto tabla 10.22 V4 CH13</t>
  </si>
  <si>
    <t>Fracción correspondiente a cada sistema de gestión, considerando valores promedio, datos por defecto tabla 10.22 V4 CH14</t>
  </si>
  <si>
    <t>Fracción correspondiente a cada sistema de gestión, considerando valores promedio, datos por defecto tabla 10.22 V4 CH15</t>
  </si>
  <si>
    <t>Fracción correspondiente a cada sistema de gestión, considerando valores promedio, datos por defecto tabla 10.22 V4 CH16</t>
  </si>
  <si>
    <t>Fracción correspondiente a cada sistema de gestión, considerando valores promedio, datos por defecto tabla 10.22 V4 CH17</t>
  </si>
  <si>
    <t>Fracción correspondiente a cada sistema de gestión, considerando valores promedio, datos por defecto tabla 10.22 V4 CH18</t>
  </si>
  <si>
    <t>Fracción correspondiente a cada sistema de gestión, considerando valores promedio, datos por defecto tabla 10.22 V4 CH19</t>
  </si>
  <si>
    <t>Fracción correspondiente a cada sistema de gestión, considerando valores promedio, datos por defecto tabla 10.22 V4 CH20</t>
  </si>
  <si>
    <t>Fracción correspondiente a cada sistema de gestión, considerando valores promedio, datos por defecto tabla 10.22 V4 CH21</t>
  </si>
  <si>
    <t>Fracción correspondiente a cada sistema de gestión, considerando valores promedio, datos por defecto tabla 10.22 V4 CH22</t>
  </si>
  <si>
    <t>Fracción correspondiente a cada sistema de gestión, considerando valores promedio, datos por defecto tabla 10.22 V4 CH23</t>
  </si>
  <si>
    <t>Fracción correspondiente a cada sistema de gestión, considerando valores promedio, datos por defecto tabla 10.22 V4 CH24</t>
  </si>
  <si>
    <t>Factor de emisión por defecto tablas 11.3 directrices IPCC V4 CH11, considera clima mojado para costa y amazonia y clima seco para sierra</t>
  </si>
  <si>
    <t>Factor de emisión por defecto tablas 11.3 directrices IPCC V4 CH11, considera valor agregado por default</t>
  </si>
  <si>
    <t>Irrigadas</t>
  </si>
  <si>
    <t xml:space="preserve">Inundadas permanentemente </t>
  </si>
  <si>
    <t>Inundados intermitentemente – aireación simple</t>
  </si>
  <si>
    <t>Inundados intermitentemente – aireación multiple</t>
  </si>
  <si>
    <t>Secano y aguas profundas</t>
  </si>
  <si>
    <t>Alimentacion regular por lluvia</t>
  </si>
  <si>
    <t>Con tendencia a la sequia</t>
  </si>
  <si>
    <t>Aguas profundas</t>
  </si>
  <si>
    <t>a</t>
  </si>
  <si>
    <t>b</t>
  </si>
  <si>
    <t>c</t>
  </si>
  <si>
    <t>d</t>
  </si>
  <si>
    <t>e</t>
  </si>
  <si>
    <t>g</t>
  </si>
  <si>
    <t>Upland /tierras altas</t>
  </si>
  <si>
    <t>Datos de registro de vacunación por fiebre aftosa de Agrocalidad</t>
  </si>
  <si>
    <t>FAO STAT 2012</t>
  </si>
  <si>
    <t>FAO STATS</t>
  </si>
  <si>
    <t>FAO STAT</t>
  </si>
  <si>
    <t>FAO, FAOSTATS 2018</t>
  </si>
  <si>
    <t>FAO, FAOSTATS 2020</t>
  </si>
  <si>
    <t>FAO, FAOSTATS 2021</t>
  </si>
  <si>
    <t>Estimación según datos sectoriales levantados Calmosacorp, Asociación de caleros 2014 proyección según Superin. Compañias a 2019</t>
  </si>
  <si>
    <t>Estimación según datos sectoriales levantados Calmosacorp, Asociación de caleros 2014 proyección según Superin. Compañias a 2020</t>
  </si>
  <si>
    <t>BCE, Comercio Exterior partida 2518200000</t>
  </si>
  <si>
    <t>Superficie Anual</t>
  </si>
  <si>
    <t>Secano y aguas profundas -aguas profundas</t>
  </si>
  <si>
    <t>Directrices del IPCC de 2006 para los inventarios nacionales de gases de efecto invernadero, Vol 4, Cap 5 (tabla 5.11 p. 5.57) VERSIÓN REFINAMIENTO 2019</t>
  </si>
  <si>
    <t>Irrigados - inundados intermitentemente -aireación multiple</t>
  </si>
  <si>
    <t xml:space="preserve">Directrices del IPCC de 2006 para los inventarios nacionales de gases de efecto invernadero, Vol 4, Cap 5 (tabla 5.12 updated refinamiento 2019) </t>
  </si>
  <si>
    <t>Las consideraciones para la asignación de ecosistemas fueron conversadas con los especialistas del MAG respecto de las caracteristicas de los periodos reportados (3 cuatrimestres)</t>
  </si>
  <si>
    <t xml:space="preserve">Directrices del IPCC de 2006 para los inventarios nacionales de gases de efecto invernadero, Vol 4, Cap 5 (tabla 5.13 Refinamiento 2019) </t>
  </si>
  <si>
    <t>Ratio de aplicación de enmienda orgánica en el cultivo</t>
  </si>
  <si>
    <t>Factor de conversión de enmienda orgánica</t>
  </si>
  <si>
    <t>Directrices del IPCC V4 CH5 tabla 5,14</t>
  </si>
  <si>
    <t>Según datos ESPAC la mayor parte de enmienda orgánica aplicada al arroz es estiercoles animales y liquidos por lo que se considera el uso del factor por "farm yard manure" proporcionado por el IPCC</t>
  </si>
  <si>
    <t>No se diferencia el ratio por ecosistema debido a que no se dispone de información por periodo, se utiliza el mismo ratio anual para los tres cuatrimestres</t>
  </si>
  <si>
    <r>
      <t>(1+ROA</t>
    </r>
    <r>
      <rPr>
        <vertAlign val="subscript"/>
        <sz val="9"/>
        <rFont val="Arial"/>
        <family val="2"/>
      </rPr>
      <t>i</t>
    </r>
    <r>
      <rPr>
        <sz val="9"/>
        <rFont val="Arial"/>
        <family val="2"/>
      </rPr>
      <t xml:space="preserve"> * CFOA</t>
    </r>
    <r>
      <rPr>
        <vertAlign val="subscript"/>
        <sz val="9"/>
        <rFont val="Arial"/>
        <family val="2"/>
      </rPr>
      <t>i</t>
    </r>
    <r>
      <rPr>
        <sz val="9"/>
        <rFont val="Arial"/>
        <family val="2"/>
      </rPr>
      <t>)</t>
    </r>
    <r>
      <rPr>
        <vertAlign val="superscript"/>
        <sz val="9"/>
        <rFont val="Arial"/>
        <family val="2"/>
      </rPr>
      <t>0.58</t>
    </r>
  </si>
  <si>
    <t>ROAi</t>
  </si>
  <si>
    <r>
      <t>F</t>
    </r>
    <r>
      <rPr>
        <vertAlign val="subscript"/>
        <sz val="8"/>
        <rFont val="Arial"/>
        <family val="2"/>
      </rPr>
      <t>ON</t>
    </r>
    <r>
      <rPr>
        <sz val="8"/>
        <rFont val="Arial"/>
        <family val="2"/>
      </rPr>
      <t>: Fertilizante orgánico, N en estiércol animal, compost, lodos, otros</t>
    </r>
  </si>
  <si>
    <t>fertilizante orgánico, estiércol animal, compost, lodos, otros</t>
  </si>
  <si>
    <t>Cantidad anual de N en orina y estiércol depositado en pastos, pastizales y potreros por pastoreo.
animales, kg N año</t>
  </si>
  <si>
    <t>N EN LA ORINA Y EL ESTIÉRICO DEPOSITADOS POR LOS ANIMALES QUE PASTAN</t>
  </si>
  <si>
    <r>
      <t>F</t>
    </r>
    <r>
      <rPr>
        <b/>
        <vertAlign val="subscript"/>
        <sz val="12"/>
        <rFont val="Arial"/>
        <family val="2"/>
      </rPr>
      <t>prp</t>
    </r>
  </si>
  <si>
    <t>Ecuación 11.15</t>
  </si>
  <si>
    <t>suelos agricolas</t>
  </si>
  <si>
    <t xml:space="preserve">Yield Fresh </t>
  </si>
  <si>
    <t xml:space="preserve">DRY </t>
  </si>
  <si>
    <t>Crop</t>
  </si>
  <si>
    <t>(kg d.m. ha-1)-1</t>
  </si>
  <si>
    <t>Tabla 11.1A</t>
  </si>
  <si>
    <t>Materia seca de residuos aéreos para cultivos.</t>
  </si>
  <si>
    <t>AGdm</t>
  </si>
  <si>
    <t>kg d.m. ha</t>
  </si>
  <si>
    <t>Relación de biomasa de raíces subterráneas con biomasa de brotes aéreos para el cultivo</t>
  </si>
  <si>
    <t>RS</t>
  </si>
  <si>
    <t>Area</t>
  </si>
  <si>
    <t>AGR</t>
  </si>
  <si>
    <t>Cantidad total anual de residuos de cultivos aéreos para cultivos.</t>
  </si>
  <si>
    <t>FRACrenev (t)</t>
  </si>
  <si>
    <t>Cantidad total anual de residuos de cultivos subterráneos.</t>
  </si>
  <si>
    <t>BGR</t>
  </si>
  <si>
    <t>Contenido de N de los residuos subterráneos de los cultivos.</t>
  </si>
  <si>
    <t>Nag</t>
  </si>
  <si>
    <t xml:space="preserve"> kg N (kg d.m.)</t>
  </si>
  <si>
    <t>fracción de residuos aéreos del cultivo T eliminados anualmente para fines tales como piensos,</t>
  </si>
  <si>
    <t>FRACremove</t>
  </si>
  <si>
    <t xml:space="preserve">Fracción quemada del área cosechada anual del cultivo T </t>
  </si>
  <si>
    <t>FRACburnt</t>
  </si>
  <si>
    <t>Cf</t>
  </si>
  <si>
    <t>Contenido de N de los residuos aéreos del cultivo.</t>
  </si>
  <si>
    <t>Nbg</t>
  </si>
  <si>
    <t>Tabla 2,6 Ch2</t>
  </si>
  <si>
    <t>kg N yr</t>
  </si>
  <si>
    <t>Ecuación 11.7</t>
  </si>
  <si>
    <t>Se asume que todo el fertilizante sintético en su aporte de nitrogeno es estandar según % detallados (según ficha tecnica INEC). La estadistica fue cotejada con la estadistica proporcionada por MAG</t>
  </si>
  <si>
    <t xml:space="preserve">Directrices del IPCC de 2019 refinamiento para los inventarios nacionales de gases de efecto invernadero, Vol 4, Cap 11 (tabla 11.3 p. 11.26) </t>
  </si>
  <si>
    <t>Viene de categoría 3A2 ecuación 11.15</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</si>
  <si>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</si>
  <si>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</si>
  <si>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</si>
  <si>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Superficie quemada por cultivo</t>
  </si>
  <si>
    <t>Para 3C1</t>
  </si>
  <si>
    <r>
      <t>kg N</t>
    </r>
    <r>
      <rPr>
        <vertAlign val="subscript"/>
        <sz val="9"/>
        <rFont val="Arial"/>
        <family val="2"/>
      </rPr>
      <t>2</t>
    </r>
    <r>
      <rPr>
        <sz val="9"/>
        <rFont val="Arial"/>
        <family val="2"/>
      </rPr>
      <t>O yr</t>
    </r>
    <r>
      <rPr>
        <vertAlign val="superscript"/>
        <sz val="9"/>
        <rFont val="Arial"/>
        <family val="2"/>
      </rPr>
      <t>-2</t>
    </r>
    <r>
      <rPr>
        <sz val="11"/>
        <color theme="1"/>
        <rFont val="Calibri"/>
        <family val="2"/>
        <scheme val="minor"/>
      </rPr>
      <t/>
    </r>
  </si>
  <si>
    <t>Emisiones anuales indirectas de N2O TOTALES</t>
  </si>
  <si>
    <t>V</t>
  </si>
  <si>
    <t>L</t>
  </si>
  <si>
    <t>V+L</t>
  </si>
  <si>
    <t>(Kg CH4 año-1)</t>
  </si>
  <si>
    <t xml:space="preserve">          1  Irrigados - inundados intermitentemente -aireación multiple</t>
  </si>
  <si>
    <t>Secano y aguas profundas -alimentación por lluvia</t>
  </si>
  <si>
    <t xml:space="preserve">          2  Secano y aguas profundas -alimentación por lluvia</t>
  </si>
  <si>
    <t xml:space="preserve">          3  Secano y aguas profundas -aguas profundas</t>
  </si>
  <si>
    <t>TABLE 3 SECTORAL REPORT FOR AGRICULTURE</t>
  </si>
  <si>
    <t>Year</t>
  </si>
  <si>
    <t>(Sheet 1 of 1)</t>
  </si>
  <si>
    <t>Submission</t>
  </si>
  <si>
    <t>Country</t>
  </si>
  <si>
    <t>Back to Index</t>
  </si>
  <si>
    <t xml:space="preserve">GREENHOUSE GAS SOURCE AND </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</si>
  <si>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</si>
  <si>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</si>
  <si>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</si>
  <si>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</si>
  <si>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NMVOC</t>
  </si>
  <si>
    <t>SOx</t>
  </si>
  <si>
    <r>
      <t xml:space="preserve">Total GHG emissions </t>
    </r>
    <r>
      <rPr>
        <vertAlign val="superscript"/>
        <sz val="9"/>
        <rFont val="Times New Roman"/>
        <family val="1"/>
      </rPr>
      <t>(1)</t>
    </r>
    <r>
      <rPr>
        <b/>
        <sz val="9"/>
        <rFont val="Times New Roman"/>
        <family val="1"/>
      </rPr>
      <t xml:space="preserve"> </t>
    </r>
  </si>
  <si>
    <t>SINK CATEGORIES</t>
  </si>
  <si>
    <t>(kt)</t>
  </si>
  <si>
    <r>
      <t>CO</t>
    </r>
    <r>
      <rPr>
        <b/>
        <vertAlign val="subscript"/>
        <sz val="9"/>
        <rFont val="Times New Roman"/>
        <family val="1"/>
      </rPr>
      <t>2</t>
    </r>
    <r>
      <rPr>
        <b/>
        <sz val="9"/>
        <rFont val="Times New Roman"/>
        <family val="1"/>
      </rPr>
      <t xml:space="preserve"> equivalents (kt) </t>
    </r>
    <r>
      <rPr>
        <vertAlign val="superscript"/>
        <sz val="9"/>
        <rFont val="Times New Roman"/>
        <family val="1"/>
      </rPr>
      <t>(2)</t>
    </r>
  </si>
  <si>
    <t>3. Total agriculture</t>
  </si>
  <si>
    <t>3.A. Enteric fermentation</t>
  </si>
  <si>
    <r>
      <t>3.A.1. Cattle</t>
    </r>
    <r>
      <rPr>
        <vertAlign val="superscript"/>
        <sz val="9"/>
        <rFont val="Times New Roman"/>
        <family val="1"/>
      </rPr>
      <t>(3)</t>
    </r>
  </si>
  <si>
    <t>Option A:</t>
  </si>
  <si>
    <t>3.A.1.a. Dairy cattle</t>
  </si>
  <si>
    <t>3.A.1.b. Non-dairy cattle</t>
  </si>
  <si>
    <t>Option B (country-specific):</t>
  </si>
  <si>
    <t xml:space="preserve">3.A.1.a. Other  </t>
  </si>
  <si>
    <t>3.A.1.a.i. Mature dairy cattle</t>
  </si>
  <si>
    <t>3.A.1.a.ii. Other mature cattle</t>
  </si>
  <si>
    <t>3.A.1.a.iii. Growing cattle</t>
  </si>
  <si>
    <r>
      <t>3.A.1.a.iv. Other</t>
    </r>
    <r>
      <rPr>
        <i/>
        <sz val="9"/>
        <rFont val="Times New Roman"/>
        <family val="1"/>
      </rPr>
      <t xml:space="preserve"> (please specify)</t>
    </r>
  </si>
  <si>
    <t>3.A.2. Sheep</t>
  </si>
  <si>
    <t>3.A.3. Swine</t>
  </si>
  <si>
    <t>3.A.4. Other livestock</t>
  </si>
  <si>
    <t>3.B. Manure management</t>
  </si>
  <si>
    <r>
      <t>3.B.1. Cattle</t>
    </r>
    <r>
      <rPr>
        <vertAlign val="superscript"/>
        <sz val="9"/>
        <rFont val="Times New Roman"/>
        <family val="1"/>
      </rPr>
      <t>(3)</t>
    </r>
  </si>
  <si>
    <t>3.B.1.a. Dairy cattle</t>
  </si>
  <si>
    <t>3.B.1.b. Non-dairy cattle</t>
  </si>
  <si>
    <t xml:space="preserve">3.B.1.a. Other  </t>
  </si>
  <si>
    <t>3.B.1.a.i. Mature dairy cattle</t>
  </si>
  <si>
    <t>3.B.1.a.ii. Other mature cattle</t>
  </si>
  <si>
    <t>3.B.1.a.iii. Growing cattle</t>
  </si>
  <si>
    <r>
      <t>3.B.1.a.iv. Other</t>
    </r>
    <r>
      <rPr>
        <i/>
        <sz val="9"/>
        <rFont val="Times New Roman"/>
        <family val="1"/>
      </rPr>
      <t xml:space="preserve"> (please specify)</t>
    </r>
  </si>
  <si>
    <t>3.B.2.  Sheep</t>
  </si>
  <si>
    <t>3.B.3.  Swine</t>
  </si>
  <si>
    <t>3.B.4.  Other livestock</t>
  </si>
  <si>
    <r>
      <t>3.B.5. Indirect N</t>
    </r>
    <r>
      <rPr>
        <vertAlign val="subscript"/>
        <sz val="9"/>
        <rFont val="Times New Roman"/>
        <family val="1"/>
      </rPr>
      <t>2</t>
    </r>
    <r>
      <rPr>
        <sz val="9"/>
        <rFont val="Times New Roman"/>
        <family val="1"/>
      </rPr>
      <t>O emissions</t>
    </r>
  </si>
  <si>
    <t>3.C. Rice cultivation</t>
  </si>
  <si>
    <r>
      <t>3.D. Agricultural soils</t>
    </r>
    <r>
      <rPr>
        <vertAlign val="superscript"/>
        <sz val="9"/>
        <rFont val="Times New Roman"/>
        <family val="1"/>
      </rPr>
      <t>(4,5)</t>
    </r>
  </si>
  <si>
    <r>
      <t>3.D.1.  Direct N</t>
    </r>
    <r>
      <rPr>
        <vertAlign val="subscript"/>
        <sz val="9"/>
        <rFont val="Times New Roman"/>
        <family val="1"/>
      </rPr>
      <t>2</t>
    </r>
    <r>
      <rPr>
        <sz val="9"/>
        <rFont val="Times New Roman"/>
        <family val="1"/>
      </rPr>
      <t>O emissions from managed soils</t>
    </r>
  </si>
  <si>
    <t>3.D.1.a. Inorganic N fertilizers</t>
  </si>
  <si>
    <t>3.D.1.b. Organic N fertilizers</t>
  </si>
  <si>
    <t>3.D.1.c. Urine and dung deposited by grazing animals</t>
  </si>
  <si>
    <t>3.D.1.d. Crop residues</t>
  </si>
  <si>
    <t>3.D.1.e. Mineralization/immobilization associated
             with loss/gain of soil organic matter</t>
  </si>
  <si>
    <t>3.D.1.f. Cultivation of organic soils (i.e. histosols)</t>
  </si>
  <si>
    <t>3.D.1.g. Other</t>
  </si>
  <si>
    <r>
      <t>3.D.2.   Indirect N</t>
    </r>
    <r>
      <rPr>
        <vertAlign val="subscript"/>
        <sz val="9"/>
        <rFont val="Times New Roman"/>
        <family val="1"/>
      </rPr>
      <t>2</t>
    </r>
    <r>
      <rPr>
        <sz val="9"/>
        <rFont val="Times New Roman"/>
        <family val="1"/>
      </rPr>
      <t xml:space="preserve">O Emissions from managed soils </t>
    </r>
  </si>
  <si>
    <t>3.E. Prescribed burning of savannahs</t>
  </si>
  <si>
    <t>3.F. Field burning of agricultural residues</t>
  </si>
  <si>
    <t>3.G. Liming</t>
  </si>
  <si>
    <t>3.H. Urea application</t>
  </si>
  <si>
    <t>3.I. Other carbon-containing fertilizers</t>
  </si>
  <si>
    <r>
      <t xml:space="preserve">3.J. Other </t>
    </r>
    <r>
      <rPr>
        <i/>
        <sz val="9"/>
        <rFont val="Times New Roman"/>
        <family val="1"/>
      </rPr>
      <t>(please specify)</t>
    </r>
    <r>
      <rPr>
        <b/>
        <i/>
        <sz val="9"/>
        <rFont val="Times New Roman"/>
        <family val="1"/>
      </rPr>
      <t xml:space="preserve"> </t>
    </r>
  </si>
  <si>
    <t xml:space="preserve">Documentation box: </t>
  </si>
  <si>
    <t>TABLE 3.A SECTORAL BACKGROUND DATA FOR AGRICULTURE</t>
  </si>
  <si>
    <t xml:space="preserve">Enteric Fermentation </t>
  </si>
  <si>
    <r>
      <t xml:space="preserve">Additional information  (only for those livestock types for which tier 2 was used) </t>
    </r>
    <r>
      <rPr>
        <b/>
        <vertAlign val="superscript"/>
        <sz val="9"/>
        <rFont val="Times New Roman"/>
        <family val="1"/>
      </rPr>
      <t>(a)</t>
    </r>
  </si>
  <si>
    <t>GREENHOUSE GAS SOURCE AND SINK CATEGORIES</t>
  </si>
  <si>
    <t>ACTIVITY DATA AND OTHER RELATED INFORMATION</t>
  </si>
  <si>
    <t>IMPLIED EMISSION FACTORS</t>
  </si>
  <si>
    <t>EMISSIONS</t>
  </si>
  <si>
    <r>
      <t xml:space="preserve">Disaggregated list of animals </t>
    </r>
    <r>
      <rPr>
        <b/>
        <vertAlign val="superscript"/>
        <sz val="9"/>
        <rFont val="Times New Roman"/>
        <family val="1"/>
      </rPr>
      <t>(b)</t>
    </r>
  </si>
  <si>
    <t>Dairy cattle</t>
  </si>
  <si>
    <t>Non-dairy cattle</t>
  </si>
  <si>
    <t>Other  (specify)</t>
  </si>
  <si>
    <r>
      <t xml:space="preserve">Population size </t>
    </r>
    <r>
      <rPr>
        <vertAlign val="superscript"/>
        <sz val="9"/>
        <rFont val="Times New Roman"/>
        <family val="1"/>
      </rPr>
      <t>(1)</t>
    </r>
  </si>
  <si>
    <t>Average gross energy intake (GE)</t>
  </si>
  <si>
    <r>
      <t>Average CH</t>
    </r>
    <r>
      <rPr>
        <b/>
        <vertAlign val="subscript"/>
        <sz val="9"/>
        <rFont val="Times New Roman"/>
        <family val="1"/>
      </rPr>
      <t>4</t>
    </r>
    <r>
      <rPr>
        <b/>
        <sz val="9"/>
        <rFont val="Times New Roman"/>
        <family val="1"/>
      </rPr>
      <t xml:space="preserve"> conversion rate (Y</t>
    </r>
    <r>
      <rPr>
        <b/>
        <vertAlign val="subscript"/>
        <sz val="9"/>
        <rFont val="Times New Roman"/>
        <family val="1"/>
      </rPr>
      <t>m</t>
    </r>
    <r>
      <rPr>
        <b/>
        <sz val="9"/>
        <rFont val="Times New Roman"/>
        <family val="1"/>
      </rPr>
      <t xml:space="preserve">) </t>
    </r>
    <r>
      <rPr>
        <vertAlign val="superscript"/>
        <sz val="9"/>
        <rFont val="Times New Roman"/>
        <family val="1"/>
      </rPr>
      <t>(2)</t>
    </r>
  </si>
  <si>
    <t xml:space="preserve"> (1000s)</t>
  </si>
  <si>
    <t>(MJ/head/day)</t>
  </si>
  <si>
    <t>(%)</t>
  </si>
  <si>
    <r>
      <t>(kg CH</t>
    </r>
    <r>
      <rPr>
        <b/>
        <vertAlign val="subscript"/>
        <sz val="9"/>
        <rFont val="Times New Roman"/>
        <family val="1"/>
      </rPr>
      <t>4</t>
    </r>
    <r>
      <rPr>
        <b/>
        <sz val="9"/>
        <rFont val="Times New Roman"/>
        <family val="1"/>
      </rPr>
      <t>/head/yr)</t>
    </r>
  </si>
  <si>
    <t>Indicators:</t>
  </si>
  <si>
    <t>3.A.1. Cattle</t>
  </si>
  <si>
    <t>Weight</t>
  </si>
  <si>
    <r>
      <t>Feeding situation</t>
    </r>
    <r>
      <rPr>
        <vertAlign val="superscript"/>
        <sz val="9"/>
        <rFont val="Times New Roman"/>
        <family val="1"/>
      </rPr>
      <t>(c)</t>
    </r>
  </si>
  <si>
    <t>Milk yield</t>
  </si>
  <si>
    <t>(kg/day)</t>
  </si>
  <si>
    <t>Work</t>
  </si>
  <si>
    <t>(h/day)</t>
  </si>
  <si>
    <r>
      <t xml:space="preserve">Option B (country-specific): </t>
    </r>
    <r>
      <rPr>
        <vertAlign val="superscript"/>
        <sz val="9"/>
        <rFont val="Times New Roman"/>
        <family val="1"/>
      </rPr>
      <t>(3)</t>
    </r>
  </si>
  <si>
    <t>Pregnant</t>
  </si>
  <si>
    <t>3.A.1.a. Other</t>
  </si>
  <si>
    <t>Digestibility of feed</t>
  </si>
  <si>
    <t>Drop-down list:</t>
  </si>
  <si>
    <r>
      <t xml:space="preserve">3.A.1.a.iv. Other </t>
    </r>
    <r>
      <rPr>
        <i/>
        <sz val="9"/>
        <color theme="1"/>
        <rFont val="Times New Roman"/>
        <family val="1"/>
      </rPr>
      <t>(please specify)</t>
    </r>
  </si>
  <si>
    <t>3.A.2.    Sheep</t>
  </si>
  <si>
    <r>
      <t xml:space="preserve">3.A.2.a. Other </t>
    </r>
    <r>
      <rPr>
        <i/>
        <sz val="9"/>
        <rFont val="Times New Roman"/>
        <family val="1"/>
      </rPr>
      <t>(please specify)</t>
    </r>
  </si>
  <si>
    <t>3.A.3.    Swine</t>
  </si>
  <si>
    <r>
      <t xml:space="preserve">3.A.3.a. Other </t>
    </r>
    <r>
      <rPr>
        <i/>
        <sz val="9"/>
        <rFont val="Times New Roman"/>
        <family val="1"/>
      </rPr>
      <t>(please specify)</t>
    </r>
  </si>
  <si>
    <r>
      <t>3.A.4.    Other livestock</t>
    </r>
    <r>
      <rPr>
        <vertAlign val="superscript"/>
        <sz val="9"/>
        <rFont val="Times New Roman"/>
        <family val="1"/>
      </rPr>
      <t>(4)</t>
    </r>
  </si>
  <si>
    <t>Drop down list:</t>
  </si>
  <si>
    <t>3.A.4.a. Buffalo</t>
  </si>
  <si>
    <t>3.A.4.b. Camels</t>
  </si>
  <si>
    <t>3.A.4.c. Deer</t>
  </si>
  <si>
    <t>3.A.4.d. Goats</t>
  </si>
  <si>
    <t>3.A.4.e. Horses</t>
  </si>
  <si>
    <t xml:space="preserve">3.A.4.f. Mules and asses </t>
  </si>
  <si>
    <t xml:space="preserve">3.A.4.g. Poultry </t>
  </si>
  <si>
    <t>3.A.4.h. Other</t>
  </si>
  <si>
    <t>3.A.4.h.i. Rabbit</t>
  </si>
  <si>
    <t>3.A.4.h.ii. Reindeer</t>
  </si>
  <si>
    <t>3.A.4.h.iii. Ostrich</t>
  </si>
  <si>
    <r>
      <t xml:space="preserve">3.A.4.h.iv. Fur-bearing animals </t>
    </r>
    <r>
      <rPr>
        <vertAlign val="superscript"/>
        <sz val="9"/>
        <rFont val="Times New Roman"/>
        <family val="1"/>
      </rPr>
      <t>(5)</t>
    </r>
  </si>
  <si>
    <r>
      <t xml:space="preserve">3.A.4.h.v. Other </t>
    </r>
    <r>
      <rPr>
        <i/>
        <sz val="9"/>
        <rFont val="Times New Roman"/>
        <family val="1"/>
      </rPr>
      <t>(please specify)</t>
    </r>
    <r>
      <rPr>
        <sz val="9"/>
        <rFont val="Times New Roman"/>
        <family val="1"/>
      </rPr>
      <t xml:space="preserve"> </t>
    </r>
  </si>
  <si>
    <t>Documentation box:</t>
  </si>
  <si>
    <t>TABLE 3.B(a) SECTORAL BACKGROUND DATA FOR AGRICULTURE</t>
  </si>
  <si>
    <r>
      <t>CH</t>
    </r>
    <r>
      <rPr>
        <b/>
        <vertAlign val="subscript"/>
        <sz val="12"/>
        <rFont val="Times New Roman"/>
        <family val="1"/>
      </rPr>
      <t>4</t>
    </r>
    <r>
      <rPr>
        <b/>
        <sz val="12"/>
        <rFont val="Times New Roman"/>
        <family val="1"/>
      </rPr>
      <t xml:space="preserve"> Emissions from Manure Management</t>
    </r>
  </si>
  <si>
    <r>
      <t>Additional information (for Tier 2)</t>
    </r>
    <r>
      <rPr>
        <b/>
        <vertAlign val="superscript"/>
        <sz val="9"/>
        <color indexed="8"/>
        <rFont val="Times New Roman"/>
        <family val="1"/>
      </rPr>
      <t xml:space="preserve"> </t>
    </r>
    <r>
      <rPr>
        <vertAlign val="superscript"/>
        <sz val="9"/>
        <color rgb="FF000000"/>
        <rFont val="Times New Roman"/>
        <family val="1"/>
      </rPr>
      <t>(a)</t>
    </r>
    <r>
      <rPr>
        <b/>
        <sz val="9"/>
        <color indexed="8"/>
        <rFont val="Times New Roman"/>
        <family val="1"/>
      </rPr>
      <t xml:space="preserve"> </t>
    </r>
  </si>
  <si>
    <t>GREENHOUSE GAS SOURCE</t>
  </si>
  <si>
    <r>
      <t xml:space="preserve">Manure Management Systems </t>
    </r>
    <r>
      <rPr>
        <vertAlign val="superscript"/>
        <sz val="9"/>
        <rFont val="Times New Roman"/>
        <family val="1"/>
      </rPr>
      <t>(b)</t>
    </r>
  </si>
  <si>
    <t>AND SINK CATEGORIES</t>
  </si>
  <si>
    <t>Population size</t>
  </si>
  <si>
    <r>
      <t xml:space="preserve">Allocation by climate region </t>
    </r>
    <r>
      <rPr>
        <vertAlign val="superscript"/>
        <sz val="9"/>
        <color rgb="FF000000"/>
        <rFont val="Times New Roman"/>
        <family val="1"/>
      </rPr>
      <t>(1)</t>
    </r>
  </si>
  <si>
    <t>Typical animal mass (average)</t>
  </si>
  <si>
    <r>
      <t>VS</t>
    </r>
    <r>
      <rPr>
        <vertAlign val="superscript"/>
        <sz val="9"/>
        <rFont val="Times New Roman"/>
        <family val="1"/>
      </rPr>
      <t>(2)</t>
    </r>
    <r>
      <rPr>
        <b/>
        <sz val="9"/>
        <rFont val="Times New Roman"/>
        <family val="1"/>
      </rPr>
      <t xml:space="preserve"> daily excretion (average)</t>
    </r>
  </si>
  <si>
    <r>
      <t>CH</t>
    </r>
    <r>
      <rPr>
        <b/>
        <vertAlign val="subscript"/>
        <sz val="9"/>
        <rFont val="Times New Roman"/>
        <family val="1"/>
      </rPr>
      <t>4</t>
    </r>
    <r>
      <rPr>
        <b/>
        <sz val="9"/>
        <rFont val="Times New Roman"/>
        <family val="1"/>
      </rPr>
      <t xml:space="preserve"> producing potential (Bo) </t>
    </r>
    <r>
      <rPr>
        <vertAlign val="superscript"/>
        <sz val="9"/>
        <rFont val="Times New Roman"/>
        <family val="1"/>
      </rPr>
      <t>(2)</t>
    </r>
    <r>
      <rPr>
        <b/>
        <sz val="9"/>
        <rFont val="Times New Roman"/>
        <family val="1"/>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</si>
  <si>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</si>
  <si>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</si>
  <si>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</si>
  <si>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</si>
  <si>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</si>
  <si>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</si>
  <si>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</si>
  <si>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</si>
  <si>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</si>
  <si>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</si>
  <si>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</si>
  <si>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</si>
  <si>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</si>
  <si>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</si>
  <si>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</si>
  <si>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</si>
  <si>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</si>
  <si>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r>
      <t>CH</t>
    </r>
    <r>
      <rPr>
        <b/>
        <vertAlign val="subscript"/>
        <sz val="9"/>
        <color indexed="8"/>
        <rFont val="Times New Roman"/>
        <family val="1"/>
      </rPr>
      <t>4</t>
    </r>
  </si>
  <si>
    <t xml:space="preserve"> (%)</t>
  </si>
  <si>
    <t>(kg/head)</t>
  </si>
  <si>
    <t>(kg dm/head/day)</t>
  </si>
  <si>
    <r>
      <t>(m</t>
    </r>
    <r>
      <rPr>
        <b/>
        <vertAlign val="superscript"/>
        <sz val="9"/>
        <rFont val="Times New Roman"/>
        <family val="1"/>
      </rPr>
      <t xml:space="preserve">3 </t>
    </r>
    <r>
      <rPr>
        <b/>
        <sz val="9"/>
        <rFont val="Times New Roman"/>
        <family val="1"/>
      </rPr>
      <t>CH</t>
    </r>
    <r>
      <rPr>
        <b/>
        <vertAlign val="subscript"/>
        <sz val="9"/>
        <rFont val="Times New Roman"/>
        <family val="1"/>
      </rPr>
      <t>4</t>
    </r>
    <r>
      <rPr>
        <b/>
        <sz val="9"/>
        <rFont val="Times New Roman"/>
        <family val="1"/>
      </rPr>
      <t>/kg VS)</t>
    </r>
  </si>
  <si>
    <r>
      <t>(kg CH</t>
    </r>
    <r>
      <rPr>
        <b/>
        <vertAlign val="subscript"/>
        <sz val="9"/>
        <color indexed="8"/>
        <rFont val="Times New Roman"/>
        <family val="1"/>
      </rPr>
      <t>4</t>
    </r>
    <r>
      <rPr>
        <b/>
        <sz val="9"/>
        <color indexed="8"/>
        <rFont val="Times New Roman"/>
        <family val="1"/>
      </rPr>
      <t>/head/yr)</t>
    </r>
  </si>
  <si>
    <t>Animal category</t>
  </si>
  <si>
    <t>3.B.1. Cattle</t>
  </si>
  <si>
    <t>Option</t>
  </si>
  <si>
    <t>Dairy</t>
  </si>
  <si>
    <t>Allocation</t>
  </si>
  <si>
    <t>cattle</t>
  </si>
  <si>
    <r>
      <t xml:space="preserve">MCF </t>
    </r>
    <r>
      <rPr>
        <vertAlign val="superscript"/>
        <sz val="9"/>
        <rFont val="Times New Roman"/>
        <family val="1"/>
      </rPr>
      <t>(c)</t>
    </r>
  </si>
  <si>
    <t>3.B.1.a. Other</t>
  </si>
  <si>
    <t>Non-dairy</t>
  </si>
  <si>
    <r>
      <t xml:space="preserve">3.B.1.a.iv. Other </t>
    </r>
    <r>
      <rPr>
        <i/>
        <sz val="9"/>
        <rFont val="Times New Roman"/>
        <family val="1"/>
      </rPr>
      <t>(please specify)</t>
    </r>
  </si>
  <si>
    <t>3.B.2. Sheep</t>
  </si>
  <si>
    <t>Other</t>
  </si>
  <si>
    <r>
      <t xml:space="preserve">3.B.2.a. Other </t>
    </r>
    <r>
      <rPr>
        <i/>
        <sz val="9"/>
        <rFont val="Times New Roman"/>
        <family val="1"/>
      </rPr>
      <t>(please specify)</t>
    </r>
  </si>
  <si>
    <t>3.B.3. Swine</t>
  </si>
  <si>
    <r>
      <t xml:space="preserve">3.B.3.a. Other </t>
    </r>
    <r>
      <rPr>
        <i/>
        <sz val="9"/>
        <rFont val="Times New Roman"/>
        <family val="1"/>
      </rPr>
      <t>(please specify)</t>
    </r>
  </si>
  <si>
    <r>
      <t xml:space="preserve">3.B.4. Other livestock </t>
    </r>
    <r>
      <rPr>
        <vertAlign val="superscript"/>
        <sz val="9"/>
        <rFont val="Times New Roman"/>
        <family val="1"/>
      </rPr>
      <t>(4)</t>
    </r>
  </si>
  <si>
    <t>Swine</t>
  </si>
  <si>
    <t>3.B.4.a. Buffalo</t>
  </si>
  <si>
    <t>3.B.4.b. Camels</t>
  </si>
  <si>
    <t>3.B.4.c. Deer</t>
  </si>
  <si>
    <t>3.B.4.d. Goats</t>
  </si>
  <si>
    <t>3.B.4.e. Horses</t>
  </si>
  <si>
    <t>Other livestock</t>
  </si>
  <si>
    <t xml:space="preserve">3.B.4.f. Mules and Asses </t>
  </si>
  <si>
    <t>(please specify)</t>
  </si>
  <si>
    <t>3.B.4.g. Poultry</t>
  </si>
  <si>
    <t>3.B.4.h. Other</t>
  </si>
  <si>
    <t>3.B.4.h.i. Rabbit</t>
  </si>
  <si>
    <t>3.B.4.h.ii. Reindeer</t>
  </si>
  <si>
    <t>3.B.4.h.iii. Ostrich</t>
  </si>
  <si>
    <r>
      <t xml:space="preserve">3.B.4.h.iv. Fur-bearing animals </t>
    </r>
    <r>
      <rPr>
        <vertAlign val="superscript"/>
        <sz val="9"/>
        <rFont val="Times New Roman"/>
        <family val="1"/>
      </rPr>
      <t>(5)</t>
    </r>
  </si>
  <si>
    <r>
      <t xml:space="preserve">3.B.4.h.v. Other </t>
    </r>
    <r>
      <rPr>
        <i/>
        <sz val="9"/>
        <rFont val="Times New Roman"/>
        <family val="1"/>
      </rPr>
      <t>(please specify)</t>
    </r>
    <r>
      <rPr>
        <sz val="9"/>
        <rFont val="Times New Roman"/>
        <family val="1"/>
      </rPr>
      <t xml:space="preserve"> </t>
    </r>
  </si>
  <si>
    <t>TABLE 3.B(b) SECTORAL BACKGROUND DATA FOR AGRICULTURE</t>
  </si>
  <si>
    <r>
      <t>N</t>
    </r>
    <r>
      <rPr>
        <b/>
        <vertAlign val="subscript"/>
        <sz val="12"/>
        <rFont val="Times New Roman"/>
        <family val="1"/>
      </rPr>
      <t>2</t>
    </r>
    <r>
      <rPr>
        <b/>
        <sz val="12"/>
        <rFont val="Times New Roman"/>
        <family val="1"/>
      </rPr>
      <t>O Emissions from Manure Management</t>
    </r>
  </si>
  <si>
    <t xml:space="preserve">GREENHOUSE GAS SOURCE </t>
  </si>
  <si>
    <t>ACTIVITY DATA  AND  OTHER  RELATED  INFORMATION</t>
  </si>
  <si>
    <t>IMPLIED EMISSION 
FACTORS</t>
  </si>
  <si>
    <t>Population
 size</t>
  </si>
  <si>
    <t xml:space="preserve">Nitrogen 
excretion rate            </t>
  </si>
  <si>
    <t>Typical animal 
mass (average)</t>
  </si>
  <si>
    <t xml:space="preserve">Nitrogen excretion per manure management 
system (MMS) (kg N/yr)     </t>
  </si>
  <si>
    <t>Total N 
excreted</t>
  </si>
  <si>
    <t xml:space="preserve">Total N 
volatilised </t>
  </si>
  <si>
    <t xml:space="preserve">N lost 
through </t>
  </si>
  <si>
    <t>Emission factor per animals</t>
  </si>
  <si>
    <r>
      <t>as NH</t>
    </r>
    <r>
      <rPr>
        <b/>
        <vertAlign val="subscript"/>
        <sz val="9"/>
        <rFont val="Times New Roman"/>
        <family val="1"/>
      </rPr>
      <t>3</t>
    </r>
    <r>
      <rPr>
        <b/>
        <sz val="9"/>
        <rFont val="Times New Roman"/>
        <family val="1"/>
      </rPr>
      <t>, NO</t>
    </r>
    <r>
      <rPr>
        <b/>
        <vertAlign val="subscript"/>
        <sz val="9"/>
        <rFont val="Times New Roman"/>
        <family val="1"/>
      </rPr>
      <t>X</t>
    </r>
    <r>
      <rPr>
        <b/>
        <sz val="9"/>
        <rFont val="Times New Roman"/>
        <family val="1"/>
      </rPr>
      <t xml:space="preserve">   </t>
    </r>
  </si>
  <si>
    <t xml:space="preserve">leaching </t>
  </si>
  <si>
    <t>Direct</t>
  </si>
  <si>
    <t>Indirect</t>
  </si>
  <si>
    <t>(1000s)</t>
  </si>
  <si>
    <t>(kg N/
head/yr)</t>
  </si>
  <si>
    <t>(kg/
head)</t>
  </si>
  <si>
    <t>Liquid system</t>
  </si>
  <si>
    <r>
      <t xml:space="preserve">Pasture range 
and paddock </t>
    </r>
    <r>
      <rPr>
        <vertAlign val="superscript"/>
        <sz val="9"/>
        <rFont val="Times New Roman"/>
        <family val="1"/>
      </rPr>
      <t>(1)</t>
    </r>
  </si>
  <si>
    <r>
      <t xml:space="preserve">Burned for fuel or 
as waste </t>
    </r>
    <r>
      <rPr>
        <vertAlign val="superscript"/>
        <sz val="9"/>
        <rFont val="Times New Roman"/>
        <family val="1"/>
      </rPr>
      <t>(2)</t>
    </r>
  </si>
  <si>
    <r>
      <t xml:space="preserve">Other </t>
    </r>
    <r>
      <rPr>
        <vertAlign val="superscript"/>
        <sz val="9"/>
        <rFont val="Times New Roman"/>
        <family val="1"/>
      </rPr>
      <t xml:space="preserve">(3) </t>
    </r>
  </si>
  <si>
    <r>
      <t xml:space="preserve"> and N</t>
    </r>
    <r>
      <rPr>
        <b/>
        <vertAlign val="subscript"/>
        <sz val="9"/>
        <rFont val="Times New Roman"/>
        <family val="1"/>
      </rPr>
      <t xml:space="preserve">2 </t>
    </r>
    <r>
      <rPr>
        <vertAlign val="superscript"/>
        <sz val="9"/>
        <rFont val="Times New Roman"/>
        <family val="1"/>
      </rPr>
      <t>(4)</t>
    </r>
  </si>
  <si>
    <t xml:space="preserve">and run-off </t>
  </si>
  <si>
    <t>Atmospheric deposition</t>
  </si>
  <si>
    <t>Nitrogen leaching and run-off</t>
  </si>
  <si>
    <t xml:space="preserve">(kg N/yr)     </t>
  </si>
  <si>
    <r>
      <t>(kg N</t>
    </r>
    <r>
      <rPr>
        <b/>
        <vertAlign val="subscript"/>
        <sz val="9"/>
        <rFont val="Times New Roman"/>
        <family val="1"/>
      </rPr>
      <t>2</t>
    </r>
    <r>
      <rPr>
        <b/>
        <sz val="9"/>
        <rFont val="Times New Roman"/>
        <family val="1"/>
      </rPr>
      <t>O/
head/yr)</t>
    </r>
  </si>
  <si>
    <r>
      <t>(kg N</t>
    </r>
    <r>
      <rPr>
        <b/>
        <vertAlign val="subscript"/>
        <sz val="9"/>
        <rFont val="Times New Roman"/>
        <family val="1"/>
      </rPr>
      <t>2</t>
    </r>
    <r>
      <rPr>
        <b/>
        <sz val="9"/>
        <rFont val="Times New Roman"/>
        <family val="1"/>
      </rPr>
      <t>O-N/kg N)</t>
    </r>
  </si>
  <si>
    <r>
      <t xml:space="preserve">Option B (country-specific): </t>
    </r>
    <r>
      <rPr>
        <vertAlign val="superscript"/>
        <sz val="9"/>
        <rFont val="Times New Roman"/>
        <family val="1"/>
      </rPr>
      <t>(5)</t>
    </r>
  </si>
  <si>
    <t>Drop-down list</t>
  </si>
  <si>
    <r>
      <t xml:space="preserve">3.B.1.a.iv. Other </t>
    </r>
    <r>
      <rPr>
        <i/>
        <sz val="9"/>
        <rFont val="Times New Roman"/>
        <family val="1"/>
      </rPr>
      <t>(please specify)</t>
    </r>
    <r>
      <rPr>
        <sz val="9"/>
        <rFont val="Times New Roman"/>
        <family val="1"/>
      </rPr>
      <t xml:space="preserve"> </t>
    </r>
  </si>
  <si>
    <r>
      <t xml:space="preserve">3.B.4. Other livestock </t>
    </r>
    <r>
      <rPr>
        <vertAlign val="superscript"/>
        <sz val="9"/>
        <rFont val="Times New Roman"/>
        <family val="1"/>
      </rPr>
      <t>(6)</t>
    </r>
  </si>
  <si>
    <t xml:space="preserve">3.B.4.f. Mules and asses </t>
  </si>
  <si>
    <r>
      <t xml:space="preserve">3.B.4.h.iv Fur-bearing animals </t>
    </r>
    <r>
      <rPr>
        <vertAlign val="superscript"/>
        <sz val="9"/>
        <rFont val="Times New Roman"/>
        <family val="1"/>
      </rPr>
      <t>(7)</t>
    </r>
    <r>
      <rPr>
        <sz val="9"/>
        <rFont val="Times New Roman"/>
        <family val="1"/>
      </rPr>
      <t xml:space="preserve"> </t>
    </r>
  </si>
  <si>
    <t>Total N handled per MMS (kg N/year)</t>
  </si>
  <si>
    <r>
      <t>IEF direct N</t>
    </r>
    <r>
      <rPr>
        <b/>
        <vertAlign val="subscript"/>
        <sz val="9"/>
        <rFont val="Times New Roman"/>
        <family val="1"/>
      </rPr>
      <t>2</t>
    </r>
    <r>
      <rPr>
        <b/>
        <sz val="9"/>
        <rFont val="Times New Roman"/>
        <family val="1"/>
      </rPr>
      <t>O (kg N</t>
    </r>
    <r>
      <rPr>
        <b/>
        <vertAlign val="subscript"/>
        <sz val="9"/>
        <rFont val="Times New Roman"/>
        <family val="1"/>
      </rPr>
      <t>2</t>
    </r>
    <r>
      <rPr>
        <b/>
        <sz val="9"/>
        <rFont val="Times New Roman"/>
        <family val="1"/>
      </rPr>
      <t>O-N/kg N handled)</t>
    </r>
  </si>
  <si>
    <r>
      <t>3.B. Direct N</t>
    </r>
    <r>
      <rPr>
        <b/>
        <vertAlign val="subscript"/>
        <sz val="9"/>
        <rFont val="Times New Roman"/>
        <family val="1"/>
      </rPr>
      <t>2</t>
    </r>
    <r>
      <rPr>
        <b/>
        <sz val="9"/>
        <rFont val="Times New Roman"/>
        <family val="1"/>
      </rPr>
      <t>O emissions per MMS (kt N</t>
    </r>
    <r>
      <rPr>
        <b/>
        <vertAlign val="subscript"/>
        <sz val="9"/>
        <rFont val="Times New Roman"/>
        <family val="1"/>
      </rPr>
      <t>2</t>
    </r>
    <r>
      <rPr>
        <b/>
        <sz val="9"/>
        <rFont val="Times New Roman"/>
        <family val="1"/>
      </rPr>
      <t>O)</t>
    </r>
  </si>
  <si>
    <t>KG</t>
  </si>
  <si>
    <r>
      <t xml:space="preserve">Cantidad de nitrógeno del estiércol que se pierde debido a la lixiviación                                        </t>
    </r>
    <r>
      <rPr>
        <b/>
        <sz val="9"/>
        <color theme="4"/>
        <rFont val="Arial"/>
        <family val="2"/>
      </rPr>
      <t>Frac leach_MS</t>
    </r>
    <r>
      <rPr>
        <sz val="9"/>
        <color theme="4"/>
        <rFont val="Arial"/>
        <family val="2"/>
      </rPr>
      <t xml:space="preserve">
 </t>
    </r>
  </si>
  <si>
    <t>emisiones por sistema</t>
  </si>
  <si>
    <t>N excretado por sistema</t>
  </si>
  <si>
    <t>TABLE 3.C  SECTORAL BACKGROUND DATA  FOR AGRICULTURE</t>
  </si>
  <si>
    <t>Rice Cultivation</t>
  </si>
  <si>
    <r>
      <t xml:space="preserve">IMPLIED EMISSION FACTOR </t>
    </r>
    <r>
      <rPr>
        <vertAlign val="superscript"/>
        <sz val="9"/>
        <rFont val="Times New Roman"/>
        <family val="1"/>
      </rPr>
      <t>(1)</t>
    </r>
  </si>
  <si>
    <r>
      <t xml:space="preserve">Harvested area </t>
    </r>
    <r>
      <rPr>
        <vertAlign val="superscript"/>
        <sz val="9"/>
        <rFont val="Times New Roman"/>
        <family val="1"/>
      </rPr>
      <t>(2)</t>
    </r>
  </si>
  <si>
    <r>
      <t xml:space="preserve">Organic amendments added </t>
    </r>
    <r>
      <rPr>
        <vertAlign val="superscript"/>
        <sz val="9"/>
        <rFont val="Times New Roman"/>
        <family val="1"/>
      </rPr>
      <t>(3)</t>
    </r>
  </si>
  <si>
    <r>
      <t>CH</t>
    </r>
    <r>
      <rPr>
        <b/>
        <vertAlign val="subscript"/>
        <sz val="9"/>
        <rFont val="Times New Roman"/>
        <family val="1"/>
      </rPr>
      <t>4</t>
    </r>
    <r>
      <rPr>
        <b/>
        <sz val="9"/>
        <rFont val="Times New Roman"/>
        <family val="1"/>
      </rPr>
      <t xml:space="preserve">        </t>
    </r>
  </si>
  <si>
    <r>
      <t xml:space="preserve"> (10</t>
    </r>
    <r>
      <rPr>
        <b/>
        <vertAlign val="superscript"/>
        <sz val="9"/>
        <rFont val="Times New Roman"/>
        <family val="1"/>
      </rPr>
      <t xml:space="preserve">9 </t>
    </r>
    <r>
      <rPr>
        <b/>
        <sz val="9"/>
        <rFont val="Times New Roman"/>
        <family val="1"/>
      </rPr>
      <t>m</t>
    </r>
    <r>
      <rPr>
        <b/>
        <vertAlign val="superscript"/>
        <sz val="9"/>
        <rFont val="Times New Roman"/>
        <family val="1"/>
      </rPr>
      <t>2</t>
    </r>
    <r>
      <rPr>
        <b/>
        <sz val="9"/>
        <rFont val="Times New Roman"/>
        <family val="1"/>
      </rPr>
      <t>/yr)</t>
    </r>
  </si>
  <si>
    <t>type</t>
  </si>
  <si>
    <t>(t/ha)</t>
  </si>
  <si>
    <r>
      <t xml:space="preserve"> (g/m</t>
    </r>
    <r>
      <rPr>
        <b/>
        <vertAlign val="superscript"/>
        <sz val="9"/>
        <rFont val="Times New Roman"/>
        <family val="1"/>
      </rPr>
      <t>2</t>
    </r>
    <r>
      <rPr>
        <b/>
        <sz val="9"/>
        <rFont val="Times New Roman"/>
        <family val="1"/>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</si>
  <si>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</si>
  <si>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</si>
  <si>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</si>
  <si>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</si>
  <si>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</si>
  <si>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</si>
  <si>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</si>
  <si>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</si>
  <si>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</si>
  <si>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</si>
  <si>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</si>
  <si>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t xml:space="preserve">3.C.4. Other </t>
    </r>
    <r>
      <rPr>
        <b/>
        <i/>
        <sz val="9"/>
        <rFont val="Times New Roman"/>
        <family val="1"/>
      </rPr>
      <t>(please specify)</t>
    </r>
  </si>
  <si>
    <r>
      <t xml:space="preserve">Upland rice </t>
    </r>
    <r>
      <rPr>
        <vertAlign val="superscript"/>
        <sz val="9"/>
        <rFont val="Times New Roman"/>
        <family val="1"/>
      </rPr>
      <t>(4)</t>
    </r>
  </si>
  <si>
    <r>
      <t xml:space="preserve">Total </t>
    </r>
    <r>
      <rPr>
        <vertAlign val="superscript"/>
        <sz val="9"/>
        <color indexed="8"/>
        <rFont val="Times New Roman"/>
        <family val="1"/>
      </rPr>
      <t>(4)</t>
    </r>
  </si>
  <si>
    <t>Dry</t>
  </si>
  <si>
    <t xml:space="preserve">TABLE 3.D  SECTORAL BACKGROUND DATA FOR AGRICULTURE </t>
  </si>
  <si>
    <r>
      <t>Direct and indirect N</t>
    </r>
    <r>
      <rPr>
        <b/>
        <vertAlign val="subscript"/>
        <sz val="12"/>
        <rFont val="Times New Roman"/>
        <family val="1"/>
      </rPr>
      <t>2</t>
    </r>
    <r>
      <rPr>
        <b/>
        <sz val="12"/>
        <rFont val="Times New Roman"/>
        <family val="1"/>
      </rPr>
      <t>O emissions from agricultural soils</t>
    </r>
  </si>
  <si>
    <t>Additional information</t>
  </si>
  <si>
    <r>
      <t xml:space="preserve">Fraction </t>
    </r>
    <r>
      <rPr>
        <vertAlign val="superscript"/>
        <sz val="9"/>
        <rFont val="Times New Roman"/>
        <family val="1"/>
      </rPr>
      <t>(a)</t>
    </r>
    <r>
      <rPr>
        <b/>
        <sz val="9"/>
        <rFont val="Times New Roman"/>
        <family val="1"/>
      </rPr>
      <t xml:space="preserve"> </t>
    </r>
  </si>
  <si>
    <t>Description</t>
  </si>
  <si>
    <t>Value</t>
  </si>
  <si>
    <r>
      <t xml:space="preserve">Value </t>
    </r>
    <r>
      <rPr>
        <sz val="9"/>
        <rFont val="Times New Roman"/>
        <family val="1"/>
      </rPr>
      <t xml:space="preserve"> </t>
    </r>
  </si>
  <si>
    <r>
      <t>Frac</t>
    </r>
    <r>
      <rPr>
        <vertAlign val="subscript"/>
        <sz val="9"/>
        <rFont val="Times New Roman"/>
        <family val="1"/>
      </rPr>
      <t>GASF</t>
    </r>
  </si>
  <si>
    <r>
      <t>Fraction of synthetic fertilizer N applied to soils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</si>
  <si>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t>t N/year</t>
  </si>
  <si>
    <r>
      <t>kg N</t>
    </r>
    <r>
      <rPr>
        <b/>
        <vertAlign val="subscript"/>
        <sz val="9"/>
        <rFont val="Times New Roman"/>
        <family val="1"/>
      </rPr>
      <t>2</t>
    </r>
    <r>
      <rPr>
        <b/>
        <sz val="9"/>
        <rFont val="Times New Roman"/>
        <family val="1"/>
      </rPr>
      <t xml:space="preserve">O-N/kg N </t>
    </r>
    <r>
      <rPr>
        <vertAlign val="superscript"/>
        <sz val="9"/>
        <rFont val="Times New Roman"/>
        <family val="1"/>
      </rPr>
      <t>(1,2)</t>
    </r>
  </si>
  <si>
    <r>
      <t>Frac</t>
    </r>
    <r>
      <rPr>
        <vertAlign val="subscript"/>
        <sz val="9"/>
        <rFont val="Times New Roman"/>
        <family val="1"/>
      </rPr>
      <t>GASM</t>
    </r>
  </si>
  <si>
    <r>
      <t>Fraction of applied organic N fertiliser materials (FON) and of urine and dung N deposited by grazing animals (FPRP)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</si>
  <si>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r>
      <t>3.D.1. Direct N</t>
    </r>
    <r>
      <rPr>
        <b/>
        <vertAlign val="subscript"/>
        <sz val="9"/>
        <rFont val="Times New Roman"/>
        <family val="1"/>
      </rPr>
      <t>2</t>
    </r>
    <r>
      <rPr>
        <b/>
        <sz val="9"/>
        <rFont val="Times New Roman"/>
        <family val="1"/>
      </rPr>
      <t xml:space="preserve">O emissions from managed soils </t>
    </r>
  </si>
  <si>
    <r>
      <t>Frac</t>
    </r>
    <r>
      <rPr>
        <vertAlign val="subscript"/>
        <sz val="9"/>
        <rFont val="Times New Roman"/>
        <family val="1"/>
      </rPr>
      <t>GASPRP</t>
    </r>
    <r>
      <rPr>
        <sz val="9"/>
        <rFont val="Times New Roman"/>
        <family val="1"/>
      </rPr>
      <t xml:space="preserve"> </t>
    </r>
  </si>
  <si>
    <t>Fraction of urine and dung N deposited by grazing animals (FPRP) that volatilises as NH3 and NOx</t>
  </si>
  <si>
    <r>
      <t xml:space="preserve">3.D.1.a.  Inorganic N fertilizers </t>
    </r>
    <r>
      <rPr>
        <vertAlign val="superscript"/>
        <sz val="9"/>
        <rFont val="Times New Roman"/>
        <family val="1"/>
      </rPr>
      <t>(3)</t>
    </r>
  </si>
  <si>
    <t>N input from application of inorganic fertilizers to cropland and grassland</t>
  </si>
  <si>
    <r>
      <t>Frac</t>
    </r>
    <r>
      <rPr>
        <vertAlign val="subscript"/>
        <sz val="9"/>
        <rFont val="Times New Roman"/>
        <family val="1"/>
      </rPr>
      <t>LEACH-(H)</t>
    </r>
  </si>
  <si>
    <t>Fraction of N input to managed soils that is lost through leaching and run-off</t>
  </si>
  <si>
    <r>
      <t xml:space="preserve">3.D.1.b.   Organic N fertilizers </t>
    </r>
    <r>
      <rPr>
        <vertAlign val="superscript"/>
        <sz val="9"/>
        <rFont val="Times New Roman"/>
        <family val="1"/>
      </rPr>
      <t>(3)</t>
    </r>
  </si>
  <si>
    <t>N input from organic N fertilizers to cropland and grassland</t>
  </si>
  <si>
    <r>
      <t xml:space="preserve">Other fractions </t>
    </r>
    <r>
      <rPr>
        <i/>
        <sz val="9"/>
        <rFont val="Times New Roman"/>
        <family val="1"/>
      </rPr>
      <t>(please specify)</t>
    </r>
  </si>
  <si>
    <t xml:space="preserve">      3.D.1.b.i. Animal manure applied to soils</t>
  </si>
  <si>
    <t>N input from manure applied to soils</t>
  </si>
  <si>
    <t xml:space="preserve">      3.D.1.b.ii. Sewage sludge applied to soils</t>
  </si>
  <si>
    <t>N input from sewage sludge applied to soils</t>
  </si>
  <si>
    <r>
      <t>(a)</t>
    </r>
    <r>
      <rPr>
        <sz val="9"/>
        <rFont val="Times New Roman"/>
        <family val="1"/>
      </rPr>
      <t xml:space="preserve"> Use the definitions for fractions as specified in the 2006 IPCC Guidelines</t>
    </r>
  </si>
  <si>
    <t xml:space="preserve">      3.D.1.b.iii. Other organic fertilizers applied to soils</t>
  </si>
  <si>
    <t>N input from application of other organic fertilizers</t>
  </si>
  <si>
    <r>
      <t xml:space="preserve">    (pp. 11.13</t>
    </r>
    <r>
      <rPr>
        <sz val="9"/>
        <rFont val="Arial"/>
        <family val="2"/>
      </rPr>
      <t>–</t>
    </r>
    <r>
      <rPr>
        <sz val="9"/>
        <rFont val="Times New Roman"/>
        <family val="1"/>
      </rPr>
      <t>11.22, chap. 11, vol. 4).</t>
    </r>
  </si>
  <si>
    <t>3.D.1.c.   Urine and dung deposited by grazing animals</t>
  </si>
  <si>
    <t>N excretion on pasture, range and paddock</t>
  </si>
  <si>
    <t>3.D.1.d.   Crop residues</t>
  </si>
  <si>
    <t>N in crop residues returned to soils</t>
  </si>
  <si>
    <r>
      <t xml:space="preserve">3.D.1.e.   Mineralization/immobilization associated with loss/gain of soil organic matter </t>
    </r>
    <r>
      <rPr>
        <vertAlign val="superscript"/>
        <sz val="9"/>
        <rFont val="Times New Roman"/>
        <family val="1"/>
      </rPr>
      <t>(4,5)</t>
    </r>
  </si>
  <si>
    <t xml:space="preserve">N in mineral soils that is mineralized/immobilized in association with loss of soil C </t>
  </si>
  <si>
    <r>
      <t xml:space="preserve">3.D.1.f.   Cultivation of organic soils (i.e. histosols) </t>
    </r>
    <r>
      <rPr>
        <vertAlign val="superscript"/>
        <sz val="9"/>
        <rFont val="Times New Roman"/>
        <family val="1"/>
      </rPr>
      <t>(2)</t>
    </r>
  </si>
  <si>
    <t>Area of cultivated organic soils (ha/yr)</t>
  </si>
  <si>
    <t>3.D.1.g.   Other</t>
  </si>
  <si>
    <r>
      <t>3.D.2. Indirect N</t>
    </r>
    <r>
      <rPr>
        <b/>
        <vertAlign val="subscript"/>
        <sz val="9"/>
        <rFont val="Times New Roman"/>
        <family val="1"/>
      </rPr>
      <t>2</t>
    </r>
    <r>
      <rPr>
        <b/>
        <sz val="9"/>
        <rFont val="Times New Roman"/>
        <family val="1"/>
      </rPr>
      <t xml:space="preserve">O Emissions from managed soils </t>
    </r>
  </si>
  <si>
    <r>
      <t xml:space="preserve">3.D.2.a.   Atmospheric deposition </t>
    </r>
    <r>
      <rPr>
        <vertAlign val="superscript"/>
        <sz val="9"/>
        <rFont val="Times New Roman"/>
        <family val="1"/>
      </rPr>
      <t>(6)</t>
    </r>
  </si>
  <si>
    <t>Volatilized N from agricultural inputs of N</t>
  </si>
  <si>
    <t>3.D.2.b.   Nitrogen leaching and run-off</t>
  </si>
  <si>
    <t xml:space="preserve">N from fertilizers and other agricultural inputs that is lost through leaching and run-off </t>
  </si>
  <si>
    <r>
      <t>Emisiones anuales directas de N</t>
    </r>
    <r>
      <rPr>
        <vertAlign val="subscript"/>
        <sz val="8"/>
        <rFont val="Arial"/>
        <family val="2"/>
      </rPr>
      <t>2</t>
    </r>
    <r>
      <rPr>
        <sz val="8"/>
        <rFont val="Arial"/>
        <family val="2"/>
      </rPr>
      <t>O por la entrada de orina y estiércol a suelos pastoreados mas suelos orgánicos.</t>
    </r>
  </si>
  <si>
    <t xml:space="preserve">TABLE 3.F SECTORAL BACKGROUND DATA FOR AGRICULTURE </t>
  </si>
  <si>
    <t>Field burning of agricultural residues</t>
  </si>
  <si>
    <t xml:space="preserve">   ACTIVITY DATA AND OTHER RELATED INFORMATION</t>
  </si>
  <si>
    <t>Wheat</t>
  </si>
  <si>
    <t>Barley</t>
  </si>
  <si>
    <t>Maize</t>
  </si>
  <si>
    <t>Area burned</t>
  </si>
  <si>
    <r>
      <t xml:space="preserve">Biomass available </t>
    </r>
    <r>
      <rPr>
        <vertAlign val="superscript"/>
        <sz val="9"/>
        <rFont val="Times New Roman"/>
        <family val="1"/>
      </rPr>
      <t>(1)</t>
    </r>
  </si>
  <si>
    <t>Combustion factor</t>
  </si>
  <si>
    <r>
      <t xml:space="preserve">Total biomass burned </t>
    </r>
    <r>
      <rPr>
        <vertAlign val="superscript"/>
        <sz val="9"/>
        <rFont val="Times New Roman"/>
        <family val="1"/>
      </rPr>
      <t xml:space="preserve">(2)  </t>
    </r>
  </si>
  <si>
    <r>
      <t>N</t>
    </r>
    <r>
      <rPr>
        <b/>
        <vertAlign val="subscript"/>
        <sz val="9"/>
        <rFont val="Times New Roman"/>
        <family val="1"/>
      </rPr>
      <t>2</t>
    </r>
    <r>
      <rPr>
        <b/>
        <sz val="9"/>
        <rFont val="Times New Roman"/>
        <family val="1"/>
      </rPr>
      <t xml:space="preserve">O  </t>
    </r>
  </si>
  <si>
    <t>(k ha/yr)</t>
  </si>
  <si>
    <t xml:space="preserve"> (t dm/ha)</t>
  </si>
  <si>
    <t xml:space="preserve"> (kt dm)</t>
  </si>
  <si>
    <t>(kg/t dm)</t>
  </si>
  <si>
    <t>Crop production (t)</t>
  </si>
  <si>
    <t>3.F.1. Cereals</t>
  </si>
  <si>
    <t>Residue/crop ratio</t>
  </si>
  <si>
    <t>3.F.1.a. Wheat</t>
  </si>
  <si>
    <t>Dry matter (dm) fraction of residue</t>
  </si>
  <si>
    <t>3.F.1.b. Barley</t>
  </si>
  <si>
    <t>Fraction burned in fields</t>
  </si>
  <si>
    <t>3.F.1.c. Maize</t>
  </si>
  <si>
    <t>Fraction oxidized</t>
  </si>
  <si>
    <r>
      <rPr>
        <b/>
        <sz val="9"/>
        <rFont val="Times New Roman"/>
        <family val="1"/>
      </rPr>
      <t>Note</t>
    </r>
    <r>
      <rPr>
        <sz val="9"/>
        <rFont val="Times New Roman"/>
        <family val="1"/>
      </rPr>
      <t xml:space="preserve">: Parties are encouraged to supply the additional information regardless of </t>
    </r>
  </si>
  <si>
    <t xml:space="preserve">         the methodology applied.</t>
  </si>
  <si>
    <t>3.F.2. Pulses</t>
  </si>
  <si>
    <r>
      <t xml:space="preserve">3.F.2.a. Other </t>
    </r>
    <r>
      <rPr>
        <i/>
        <sz val="9"/>
        <rFont val="Times New Roman"/>
        <family val="1"/>
      </rPr>
      <t>(please specify)</t>
    </r>
  </si>
  <si>
    <t>3.F.3. Tubers and roots</t>
  </si>
  <si>
    <r>
      <t xml:space="preserve">3.F.3.a. Other </t>
    </r>
    <r>
      <rPr>
        <i/>
        <sz val="9"/>
        <rFont val="Times New Roman"/>
        <family val="1"/>
      </rPr>
      <t>(please specify)</t>
    </r>
  </si>
  <si>
    <t>3.F.4. Sugar cane</t>
  </si>
  <si>
    <r>
      <t xml:space="preserve">3.F.5. Other </t>
    </r>
    <r>
      <rPr>
        <i/>
        <sz val="9"/>
        <rFont val="Times New Roman"/>
        <family val="1"/>
      </rPr>
      <t>(please specify)</t>
    </r>
  </si>
  <si>
    <t>3.F.1.d. Rice</t>
  </si>
  <si>
    <t>TABLE 3.G-J SECTORAL BACKGROUND DATA FOR AGRICULTURE</t>
  </si>
  <si>
    <r>
      <t>CO</t>
    </r>
    <r>
      <rPr>
        <b/>
        <vertAlign val="subscript"/>
        <sz val="12"/>
        <rFont val="Times New Roman"/>
        <family val="1"/>
      </rPr>
      <t>2</t>
    </r>
    <r>
      <rPr>
        <b/>
        <sz val="12"/>
        <rFont val="Times New Roman"/>
        <family val="1"/>
      </rPr>
      <t xml:space="preserve"> emissions from liming, urea application and  other carbon-containing fertilizers</t>
    </r>
  </si>
  <si>
    <t>ACTIVITY DATA</t>
  </si>
  <si>
    <r>
      <t>EMISSIONS</t>
    </r>
    <r>
      <rPr>
        <b/>
        <vertAlign val="superscript"/>
        <sz val="10"/>
        <rFont val="Times New Roman"/>
        <family val="1"/>
      </rPr>
      <t xml:space="preserve"> </t>
    </r>
  </si>
  <si>
    <t>Amount applied</t>
  </si>
  <si>
    <r>
      <t>CO</t>
    </r>
    <r>
      <rPr>
        <b/>
        <vertAlign val="subscript"/>
        <sz val="9"/>
        <rFont val="Times New Roman"/>
        <family val="1"/>
      </rPr>
      <t>2</t>
    </r>
    <r>
      <rPr>
        <b/>
        <sz val="9"/>
        <rFont val="Times New Roman"/>
        <family val="1"/>
      </rPr>
      <t xml:space="preserve">-C per unit </t>
    </r>
  </si>
  <si>
    <r>
      <t>CO</t>
    </r>
    <r>
      <rPr>
        <b/>
        <vertAlign val="subscript"/>
        <sz val="10"/>
        <rFont val="Times New Roman"/>
        <family val="1"/>
      </rPr>
      <t>2</t>
    </r>
  </si>
  <si>
    <t>(t/yr)</t>
  </si>
  <si>
    <r>
      <t>(t CO</t>
    </r>
    <r>
      <rPr>
        <b/>
        <vertAlign val="subscript"/>
        <sz val="10"/>
        <rFont val="Times New Roman"/>
        <family val="1"/>
      </rPr>
      <t>2</t>
    </r>
    <r>
      <rPr>
        <b/>
        <sz val="10"/>
        <rFont val="Times New Roman"/>
        <family val="1"/>
      </rPr>
      <t>–C /t)</t>
    </r>
  </si>
  <si>
    <r>
      <t xml:space="preserve">3.G.  Liming </t>
    </r>
    <r>
      <rPr>
        <vertAlign val="superscript"/>
        <sz val="9"/>
        <rFont val="Times New Roman"/>
        <family val="1"/>
      </rPr>
      <t>(1)</t>
    </r>
  </si>
  <si>
    <r>
      <t>3.G.1. Limestone CaCO</t>
    </r>
    <r>
      <rPr>
        <vertAlign val="subscript"/>
        <sz val="9"/>
        <rFont val="Times New Roman"/>
        <family val="1"/>
      </rPr>
      <t>3</t>
    </r>
  </si>
  <si>
    <r>
      <t>3.G.2. Dolomite CaMg(CO</t>
    </r>
    <r>
      <rPr>
        <vertAlign val="subscript"/>
        <sz val="9"/>
        <rFont val="Times New Roman"/>
        <family val="1"/>
      </rPr>
      <t>3</t>
    </r>
    <r>
      <rPr>
        <sz val="9"/>
        <rFont val="Times New Roman"/>
        <family val="1"/>
      </rPr>
      <t>)</t>
    </r>
    <r>
      <rPr>
        <vertAlign val="subscript"/>
        <sz val="9"/>
        <rFont val="Times New Roman"/>
        <family val="1"/>
      </rPr>
      <t>2</t>
    </r>
  </si>
  <si>
    <t xml:space="preserve">3.H.  Urea application </t>
  </si>
  <si>
    <t>3.I.   Other carbon-containing fertilizers</t>
  </si>
  <si>
    <r>
      <t xml:space="preserve">3.J.  Other </t>
    </r>
    <r>
      <rPr>
        <i/>
        <sz val="9"/>
        <rFont val="Times New Roman"/>
        <family val="1"/>
      </rPr>
      <t>(please specify)</t>
    </r>
    <r>
      <rPr>
        <sz val="9"/>
        <rFont val="Times New Roman"/>
        <family val="1"/>
      </rPr>
      <t xml:space="preserve"> </t>
    </r>
    <r>
      <rPr>
        <vertAlign val="superscript"/>
        <sz val="9"/>
        <rFont val="Times New Roman"/>
        <family val="1"/>
      </rPr>
      <t>(2)</t>
    </r>
    <r>
      <rPr>
        <sz val="9"/>
        <rFont val="Times New Roman"/>
        <family val="1"/>
      </rPr>
      <t xml:space="preserve"> </t>
    </r>
  </si>
  <si>
    <t>LC</t>
  </si>
  <si>
    <t>Cobertura de la tierra</t>
  </si>
  <si>
    <t>Area from CGLS</t>
  </si>
  <si>
    <t>Pastizales</t>
  </si>
  <si>
    <t>1000 ha</t>
  </si>
  <si>
    <t>3525.01</t>
  </si>
  <si>
    <t>Valor estimado</t>
  </si>
  <si>
    <t>3503.54</t>
  </si>
  <si>
    <t>3496.12</t>
  </si>
  <si>
    <t>3487.96</t>
  </si>
  <si>
    <t>3480.32</t>
  </si>
  <si>
    <t>Area from MODIS</t>
  </si>
  <si>
    <t>1883.93</t>
  </si>
  <si>
    <t>1799.05</t>
  </si>
  <si>
    <t>1886.54</t>
  </si>
  <si>
    <t>2082.99</t>
  </si>
  <si>
    <t>2177.75</t>
  </si>
  <si>
    <t>2200.58</t>
  </si>
  <si>
    <t>2166.12</t>
  </si>
  <si>
    <t>1973.76</t>
  </si>
  <si>
    <t>1963.81</t>
  </si>
  <si>
    <t>1912.6</t>
  </si>
  <si>
    <t>1980.23</t>
  </si>
  <si>
    <t>1878.98</t>
  </si>
  <si>
    <t>1855.99</t>
  </si>
  <si>
    <t>1995.32</t>
  </si>
  <si>
    <t>2088.86</t>
  </si>
  <si>
    <t>2148.96</t>
  </si>
  <si>
    <t>2021.43</t>
  </si>
  <si>
    <t>1970.35</t>
  </si>
  <si>
    <t>1932.86</t>
  </si>
  <si>
    <t>1951.75</t>
  </si>
  <si>
    <t>1827.08</t>
  </si>
  <si>
    <t>Area from CCI_LC</t>
  </si>
  <si>
    <t>1837.57</t>
  </si>
  <si>
    <t>1835.78</t>
  </si>
  <si>
    <t>1835.87</t>
  </si>
  <si>
    <t>1834.17</t>
  </si>
  <si>
    <t>1833.78</t>
  </si>
  <si>
    <t>1834.03</t>
  </si>
  <si>
    <t>1837.9</t>
  </si>
  <si>
    <t>1845.6</t>
  </si>
  <si>
    <t>1848.56</t>
  </si>
  <si>
    <t>1851.05</t>
  </si>
  <si>
    <t>1854.53</t>
  </si>
  <si>
    <t>1865.23</t>
  </si>
  <si>
    <t>1865.06</t>
  </si>
  <si>
    <t>1863.31</t>
  </si>
  <si>
    <t>1861.9</t>
  </si>
  <si>
    <t>1850.55</t>
  </si>
  <si>
    <t>1842.96</t>
  </si>
  <si>
    <t>1836.63</t>
  </si>
  <si>
    <t>1832.9</t>
  </si>
  <si>
    <t>1828.39</t>
  </si>
  <si>
    <t>1820.15</t>
  </si>
  <si>
    <t>1796.04</t>
  </si>
  <si>
    <t>1794.9</t>
  </si>
  <si>
    <t>1792.3</t>
  </si>
  <si>
    <t>1790.04</t>
  </si>
  <si>
    <t>1786.97</t>
  </si>
  <si>
    <t>1779.12</t>
  </si>
  <si>
    <t>1774.66</t>
  </si>
  <si>
    <t>Area from WorldCover</t>
  </si>
  <si>
    <t>4675.17</t>
  </si>
  <si>
    <t>4604.94</t>
  </si>
  <si>
    <t>1 - 57 de 57 registros.100  registros por página.</t>
  </si>
  <si>
    <t>Código fuente</t>
  </si>
  <si>
    <t>GI</t>
  </si>
  <si>
    <t>Emisiones derivadas de fuegos</t>
  </si>
  <si>
    <t>Matorrales cerrados</t>
  </si>
  <si>
    <t>FAO TIER 1</t>
  </si>
  <si>
    <t>ha</t>
  </si>
  <si>
    <t>Emisiones (CH4)</t>
  </si>
  <si>
    <t>mil toneladas</t>
  </si>
  <si>
    <t>0.0038</t>
  </si>
  <si>
    <t>0.0003</t>
  </si>
  <si>
    <t>0.0095</t>
  </si>
  <si>
    <t>0.0009</t>
  </si>
  <si>
    <t>0.0132</t>
  </si>
  <si>
    <t>0.0012</t>
  </si>
  <si>
    <t>0.0169</t>
  </si>
  <si>
    <t>0.0015</t>
  </si>
  <si>
    <t>0.012</t>
  </si>
  <si>
    <t>0.0011</t>
  </si>
  <si>
    <t>0.0018</t>
  </si>
  <si>
    <t>0.0002</t>
  </si>
  <si>
    <t>0.0079</t>
  </si>
  <si>
    <t>0.0007</t>
  </si>
  <si>
    <t>0.0013</t>
  </si>
  <si>
    <t>0.0001</t>
  </si>
  <si>
    <t>0.0341</t>
  </si>
  <si>
    <t>0.0031</t>
  </si>
  <si>
    <t>0.0026</t>
  </si>
  <si>
    <t>1 - 100 de 495 registros.100  registros por página.</t>
  </si>
  <si>
    <t>Anterior</t>
  </si>
  <si>
    <t>Siguiente</t>
  </si>
  <si>
    <t>GT</t>
  </si>
  <si>
    <t>Totales de las emisiones</t>
  </si>
  <si>
    <t>Incendios de sabana</t>
  </si>
  <si>
    <t>0.318</t>
  </si>
  <si>
    <t>0.029</t>
  </si>
  <si>
    <t>Emisiones (CO2eq) proveniente de CH4 (AR5)</t>
  </si>
  <si>
    <t>Emisiones (CO2eq) proveniente de N2O (AR5)</t>
  </si>
  <si>
    <t>Emisiones (CO2eq) (AR5)</t>
  </si>
  <si>
    <t>0.0713</t>
  </si>
  <si>
    <t>0.0065</t>
  </si>
  <si>
    <t>0.0849</t>
  </si>
  <si>
    <t>0.0078</t>
  </si>
  <si>
    <t>0.1308</t>
  </si>
  <si>
    <t>0.0119</t>
  </si>
  <si>
    <t>0.0576</t>
  </si>
  <si>
    <t>0.0053</t>
  </si>
  <si>
    <t>0.2914</t>
  </si>
  <si>
    <t>0.0266</t>
  </si>
  <si>
    <t>0.2256</t>
  </si>
  <si>
    <t>0.0206</t>
  </si>
  <si>
    <t>0.0514</t>
  </si>
  <si>
    <t>0.0047</t>
  </si>
  <si>
    <t>0.2112</t>
  </si>
  <si>
    <t>0.0193</t>
  </si>
  <si>
    <t>0.2445</t>
  </si>
  <si>
    <t>0.0223</t>
  </si>
  <si>
    <t>0.5143</t>
  </si>
  <si>
    <t>0.047</t>
  </si>
  <si>
    <t>0.2579</t>
  </si>
  <si>
    <t>0.0235</t>
  </si>
  <si>
    <t>0.2918</t>
  </si>
  <si>
    <t>0.0369</t>
  </si>
  <si>
    <t>0.0034</t>
  </si>
  <si>
    <t>0.901</t>
  </si>
  <si>
    <t>0.4321</t>
  </si>
  <si>
    <t>0.0395</t>
  </si>
  <si>
    <t>0.0879</t>
  </si>
  <si>
    <t>0.008</t>
  </si>
  <si>
    <t>2.12</t>
  </si>
  <si>
    <t>0.7146</t>
  </si>
  <si>
    <t>0.0652</t>
  </si>
  <si>
    <t>0.3814</t>
  </si>
  <si>
    <t>0.0348</t>
  </si>
  <si>
    <t>0.3406</t>
  </si>
  <si>
    <t>0.0311</t>
  </si>
  <si>
    <t>0.099</t>
  </si>
  <si>
    <t>0.009</t>
  </si>
  <si>
    <t>0.1804</t>
  </si>
  <si>
    <t>0.0165</t>
  </si>
  <si>
    <t>0.885</t>
  </si>
  <si>
    <t>0.0808</t>
  </si>
  <si>
    <t>24.78</t>
  </si>
  <si>
    <t>0.1984</t>
  </si>
  <si>
    <t>0.0181</t>
  </si>
  <si>
    <t>0.2753</t>
  </si>
  <si>
    <t>0.0251</t>
  </si>
  <si>
    <t>0.6386</t>
  </si>
  <si>
    <t>0.0583</t>
  </si>
  <si>
    <t>0.5179</t>
  </si>
  <si>
    <t>0.0473</t>
  </si>
  <si>
    <t>0.488</t>
  </si>
  <si>
    <t>0.0446</t>
  </si>
  <si>
    <t>Incertidumbre agregada DA</t>
  </si>
  <si>
    <t>Incertidumbre agregada FE</t>
  </si>
  <si>
    <t>Inventory sector</t>
  </si>
  <si>
    <t>IPCC category code</t>
  </si>
  <si>
    <t>IPCC category name</t>
  </si>
  <si>
    <t>Gas</t>
  </si>
  <si>
    <t xml:space="preserve">Base year emissions or removals </t>
  </si>
  <si>
    <t>Year t emissions  or removals</t>
  </si>
  <si>
    <t>Activity data uncertainty</t>
  </si>
  <si>
    <t>AD uncertainties correlated across years?</t>
  </si>
  <si>
    <t xml:space="preserve">Emission factor /estimation parameter uncertainty </t>
  </si>
  <si>
    <t>EF uncertainties correlated across years?</t>
  </si>
  <si>
    <t>Combined uncertainty</t>
  </si>
  <si>
    <t>Contribution to variance by category in year t</t>
  </si>
  <si>
    <t>Type A sensitivity</t>
  </si>
  <si>
    <t>Type B sensitivity</t>
  </si>
  <si>
    <t>Uncertainty in trend in national emissions introduced by emission factor / estimation parameter  uncertainty</t>
  </si>
  <si>
    <t xml:space="preserve">Uncertainty in trend in national emissions introduced by activity data uncertainty </t>
  </si>
  <si>
    <t xml:space="preserve">Uncertainty introduced into the trend in total national emissions </t>
  </si>
  <si>
    <t>Exclude from "total excluding selected categories"?</t>
  </si>
  <si>
    <r>
      <t>Gg CO</t>
    </r>
    <r>
      <rPr>
        <vertAlign val="subscript"/>
        <sz val="11"/>
        <color theme="1"/>
        <rFont val="Calibri"/>
        <family val="2"/>
        <scheme val="minor"/>
      </rPr>
      <t xml:space="preserve">2 </t>
    </r>
    <r>
      <rPr>
        <sz val="11"/>
        <color theme="1"/>
        <rFont val="Liberation Sans"/>
        <family val="2"/>
      </rPr>
      <t xml:space="preserve"> equivalent</t>
    </r>
  </si>
  <si>
    <r>
      <t>Gg CO</t>
    </r>
    <r>
      <rPr>
        <vertAlign val="subscript"/>
        <sz val="11"/>
        <color theme="1"/>
        <rFont val="Calibri"/>
        <family val="2"/>
        <scheme val="minor"/>
      </rPr>
      <t xml:space="preserve">2  </t>
    </r>
    <r>
      <rPr>
        <sz val="11"/>
        <color theme="1"/>
        <rFont val="Liberation Sans"/>
        <family val="2"/>
      </rPr>
      <t>equivalent</t>
    </r>
  </si>
  <si>
    <t>Energy</t>
  </si>
  <si>
    <t>1.A.1</t>
  </si>
  <si>
    <t>Energy Industries, Liquid</t>
  </si>
  <si>
    <r>
      <t>CO</t>
    </r>
    <r>
      <rPr>
        <vertAlign val="subscript"/>
        <sz val="11"/>
        <color theme="1"/>
        <rFont val="Calibri"/>
        <family val="2"/>
        <scheme val="minor"/>
      </rPr>
      <t>2</t>
    </r>
    <r>
      <rPr>
        <sz val="11"/>
        <color theme="1"/>
        <rFont val="Liberation Sans"/>
        <family val="2"/>
      </rPr>
      <t xml:space="preserve"> </t>
    </r>
  </si>
  <si>
    <t>N</t>
  </si>
  <si>
    <t>Y</t>
  </si>
  <si>
    <r>
      <t>CH</t>
    </r>
    <r>
      <rPr>
        <vertAlign val="subscript"/>
        <sz val="11"/>
        <color theme="1"/>
        <rFont val="Calibri"/>
        <family val="2"/>
        <scheme val="minor"/>
      </rPr>
      <t>4</t>
    </r>
  </si>
  <si>
    <r>
      <t>N</t>
    </r>
    <r>
      <rPr>
        <vertAlign val="subscript"/>
        <sz val="11"/>
        <color theme="1"/>
        <rFont val="Calibri"/>
        <family val="2"/>
        <scheme val="minor"/>
      </rPr>
      <t>2</t>
    </r>
    <r>
      <rPr>
        <sz val="11"/>
        <color theme="1"/>
        <rFont val="Liberation Sans"/>
        <family val="2"/>
      </rPr>
      <t>O</t>
    </r>
  </si>
  <si>
    <t>Energy Industries,  Solid</t>
  </si>
  <si>
    <r>
      <t>CO</t>
    </r>
    <r>
      <rPr>
        <vertAlign val="subscript"/>
        <sz val="11"/>
        <color theme="1"/>
        <rFont val="Calibri"/>
        <family val="2"/>
        <scheme val="minor"/>
      </rPr>
      <t xml:space="preserve">2 </t>
    </r>
  </si>
  <si>
    <t>Energy Industries,  Gaseous</t>
  </si>
  <si>
    <t>Energy Industries,  Other fossil</t>
  </si>
  <si>
    <t>Energy Industries,  Peat</t>
  </si>
  <si>
    <t>Energy Industries,  Biomass</t>
  </si>
  <si>
    <t>1.A.2</t>
  </si>
  <si>
    <t>Manufacturing industries and construction, Liquid</t>
  </si>
  <si>
    <t>Manufacturing industries and construction, Solid</t>
  </si>
  <si>
    <t>Manufacturing industries and construction, Gaseous</t>
  </si>
  <si>
    <t>Manufacturing industries and construction, Other fossil</t>
  </si>
  <si>
    <t>Manufacturing industries and construction, Peat</t>
  </si>
  <si>
    <t>Manufacturing industries and construction, Biomass</t>
  </si>
  <si>
    <t>1.A.3a</t>
  </si>
  <si>
    <t>Domestic aviation, Liquid</t>
  </si>
  <si>
    <t>1.A.3b</t>
  </si>
  <si>
    <t>Road transportation, Diesel oil</t>
  </si>
  <si>
    <t>Road transportation, Motor gasoline</t>
  </si>
  <si>
    <t>Road transportation, Gaseous</t>
  </si>
  <si>
    <t>Road transportation, Biomass</t>
  </si>
  <si>
    <t>1.A.3c</t>
  </si>
  <si>
    <t>Railways, Liquid</t>
  </si>
  <si>
    <t>1.A.3d</t>
  </si>
  <si>
    <t>Domestic navigation, Liquid</t>
  </si>
  <si>
    <t>Domestic navigation, Biomass</t>
  </si>
  <si>
    <t>1.A.3e</t>
  </si>
  <si>
    <t>Other Transportation, Gaseous</t>
  </si>
  <si>
    <t>1.A.4</t>
  </si>
  <si>
    <t>Other sectors, Liquid</t>
  </si>
  <si>
    <t>Other sectors, Solid</t>
  </si>
  <si>
    <t>Other sectors, Gaseous</t>
  </si>
  <si>
    <t>Other sectors, Other fossil</t>
  </si>
  <si>
    <t>Other sectors, Peat</t>
  </si>
  <si>
    <t>Other sectors, Biomass</t>
  </si>
  <si>
    <t>1.A.5</t>
  </si>
  <si>
    <t>Other energy, Liquid</t>
  </si>
  <si>
    <t>Other energy, Solid</t>
  </si>
  <si>
    <t>Other energy, Gaseous</t>
  </si>
  <si>
    <t>Other energy, Peat</t>
  </si>
  <si>
    <t>Other energy, Biomass</t>
  </si>
  <si>
    <t>1.B.2</t>
  </si>
  <si>
    <t>Oil and Natural gas and other emissions from energy production</t>
  </si>
  <si>
    <t>IPPU</t>
  </si>
  <si>
    <t>2.A.1</t>
  </si>
  <si>
    <t>Cement production</t>
  </si>
  <si>
    <t>2.A.2</t>
  </si>
  <si>
    <t>Lime production</t>
  </si>
  <si>
    <t>2.A.3</t>
  </si>
  <si>
    <t>Glass production</t>
  </si>
  <si>
    <t>2.A.4</t>
  </si>
  <si>
    <t>Other process uses of carbonates</t>
  </si>
  <si>
    <t>2.B.1</t>
  </si>
  <si>
    <t>Ammonia production</t>
  </si>
  <si>
    <t>2.B.2</t>
  </si>
  <si>
    <t>Nitric acid production</t>
  </si>
  <si>
    <t>2.B.11a</t>
  </si>
  <si>
    <t>Phosphoric acid production</t>
  </si>
  <si>
    <t>2.B.10</t>
  </si>
  <si>
    <t>Hydrogen production</t>
  </si>
  <si>
    <t>2.B.11b</t>
  </si>
  <si>
    <t>Limestone and dolomite use</t>
  </si>
  <si>
    <t>2.C.1</t>
  </si>
  <si>
    <t>Iron and steel production</t>
  </si>
  <si>
    <t>2.C.8</t>
  </si>
  <si>
    <t>Other Metal Industry</t>
  </si>
  <si>
    <t>2.D.1</t>
  </si>
  <si>
    <t>Lubricant use</t>
  </si>
  <si>
    <t>2.D.2</t>
  </si>
  <si>
    <t>Paraffin wax use</t>
  </si>
  <si>
    <t>2.D.4</t>
  </si>
  <si>
    <t>Other non energy products</t>
  </si>
  <si>
    <t>2.F.1</t>
  </si>
  <si>
    <t>Refrigeration and air conditioning</t>
  </si>
  <si>
    <t>HFCs</t>
  </si>
  <si>
    <t>PFCs</t>
  </si>
  <si>
    <t>2.F.2</t>
  </si>
  <si>
    <t>Foam blowing agents</t>
  </si>
  <si>
    <t>2.F.4</t>
  </si>
  <si>
    <t>Aerosols</t>
  </si>
  <si>
    <t>2.G.1</t>
  </si>
  <si>
    <t>Electrical equipment</t>
  </si>
  <si>
    <r>
      <t>SF</t>
    </r>
    <r>
      <rPr>
        <vertAlign val="subscript"/>
        <sz val="11"/>
        <color theme="1"/>
        <rFont val="Calibri"/>
        <family val="2"/>
        <scheme val="minor"/>
      </rPr>
      <t>6</t>
    </r>
  </si>
  <si>
    <t>2.G.3</t>
  </si>
  <si>
    <t>N2O from product uses</t>
  </si>
  <si>
    <t>2.H.3</t>
  </si>
  <si>
    <t>Other Industrial process and product use</t>
  </si>
  <si>
    <t>AFOLU</t>
  </si>
  <si>
    <t>3.A.1</t>
  </si>
  <si>
    <t>Enteric fermentation</t>
  </si>
  <si>
    <t>3.A.2</t>
  </si>
  <si>
    <t>Manure management</t>
  </si>
  <si>
    <t>3.C.4</t>
  </si>
  <si>
    <t>Direct soil emissions</t>
  </si>
  <si>
    <t>3.C.5</t>
  </si>
  <si>
    <t>Indirect emissions</t>
  </si>
  <si>
    <t>3.C.1.b</t>
  </si>
  <si>
    <t>3.C.2</t>
  </si>
  <si>
    <t>Liming</t>
  </si>
  <si>
    <t>2.C.3</t>
  </si>
  <si>
    <t>Urea Application</t>
  </si>
  <si>
    <t>3.B.1.a</t>
  </si>
  <si>
    <t>Forest Land remaining Forest Land</t>
  </si>
  <si>
    <t>3.B.1.b</t>
  </si>
  <si>
    <t>Land converted to Forest Land</t>
  </si>
  <si>
    <t>3.B.2.a</t>
  </si>
  <si>
    <t>Cropland remaining Cropland</t>
  </si>
  <si>
    <t>3.B.2.b</t>
  </si>
  <si>
    <t>Land converted to Cropland</t>
  </si>
  <si>
    <t>3.B.3.a</t>
  </si>
  <si>
    <t>Grassland remaining Grassland</t>
  </si>
  <si>
    <t>3.B.3.b</t>
  </si>
  <si>
    <t>Land converted to Grassland</t>
  </si>
  <si>
    <t>3.B.4.a</t>
  </si>
  <si>
    <t>Wetlands remaining Wetlands</t>
  </si>
  <si>
    <t>3.B.4.b</t>
  </si>
  <si>
    <t>Land converted to Wetlands</t>
  </si>
  <si>
    <t>3.B.5.a</t>
  </si>
  <si>
    <t>Settlements remaining Settlements</t>
  </si>
  <si>
    <t>3.B.5.b</t>
  </si>
  <si>
    <t>Land converted to Settlements</t>
  </si>
  <si>
    <t>3.D.1</t>
  </si>
  <si>
    <t>Harvested Wood Products</t>
  </si>
  <si>
    <t>N fertilization</t>
  </si>
  <si>
    <t>Drainage, rewetting and other management soils</t>
  </si>
  <si>
    <t>Mineralization</t>
  </si>
  <si>
    <t>Indirect N2O emissions</t>
  </si>
  <si>
    <t>3.C.1.d</t>
  </si>
  <si>
    <t>Biomass Burning</t>
  </si>
  <si>
    <t>Waste</t>
  </si>
  <si>
    <t>Solid Waste Disposal</t>
  </si>
  <si>
    <t>Biological Treatment of Solid Waste</t>
  </si>
  <si>
    <t>Wastewater Treatment and Discharge</t>
  </si>
  <si>
    <t>5.B</t>
  </si>
  <si>
    <t>Results</t>
  </si>
  <si>
    <t>Percentage uncertainty in total inventory:</t>
  </si>
  <si>
    <t>Trend uncertainty</t>
  </si>
  <si>
    <t>Indirect soil emissions</t>
  </si>
  <si>
    <t xml:space="preserve">Base year emissions /removals </t>
  </si>
  <si>
    <t>Year t emissions /removals</t>
  </si>
  <si>
    <t>Emission factor/estimation parameter uncertainty (combined if more than one estimation parameter is used)</t>
  </si>
  <si>
    <t>Contribution to variance in year t</t>
  </si>
  <si>
    <t>Inventory trend in national emissions for year t increase with respect to base year</t>
  </si>
  <si>
    <t>Uncertainty introduced into the trend in total national emissions with respect to base year</t>
  </si>
  <si>
    <t>Approach and comments</t>
  </si>
  <si>
    <r>
      <t>Gg CO</t>
    </r>
    <r>
      <rPr>
        <vertAlign val="subscript"/>
        <sz val="11"/>
        <color theme="1"/>
        <rFont val="Calibri"/>
        <family val="2"/>
        <scheme val="minor"/>
      </rPr>
      <t>2</t>
    </r>
    <r>
      <rPr>
        <sz val="11"/>
        <color theme="1"/>
        <rFont val="Liberation Sans"/>
        <family val="2"/>
      </rPr>
      <t xml:space="preserve"> equivalent</t>
    </r>
  </si>
  <si>
    <t>(-) %</t>
  </si>
  <si>
    <t>(+)%</t>
  </si>
  <si>
    <t>(fraction)</t>
  </si>
  <si>
    <t>(% of base year)</t>
  </si>
  <si>
    <t>Approach 1</t>
  </si>
  <si>
    <t>Emissions/ removals in base year</t>
  </si>
  <si>
    <t>Emissions/ removals in year t</t>
  </si>
  <si>
    <t>Contribution to total uncertainty by sector in year t</t>
  </si>
  <si>
    <t>Contribution to  total trend uncertainty by sector</t>
  </si>
  <si>
    <r>
      <t>Gg CO</t>
    </r>
    <r>
      <rPr>
        <vertAlign val="subscript"/>
        <sz val="11"/>
        <rFont val="Calibri"/>
        <family val="2"/>
        <scheme val="minor"/>
      </rPr>
      <t>2</t>
    </r>
    <r>
      <rPr>
        <sz val="11"/>
        <rFont val="Calibri"/>
        <family val="2"/>
        <scheme val="minor"/>
      </rPr>
      <t xml:space="preserve"> equivalent</t>
    </r>
  </si>
  <si>
    <t>Uncertainty in total inventory</t>
  </si>
  <si>
    <t>Total excluding selected categories</t>
  </si>
  <si>
    <t>Estimación del año en curso  (Gg equivalente de CO2) Valor Absoluto</t>
  </si>
  <si>
    <t>UTCUTS</t>
  </si>
  <si>
    <t>Tierras convertidas en tierras de cultivo</t>
  </si>
  <si>
    <t>Tierras forestales que permanecen como tales (Incremento anual de biomasa)</t>
  </si>
  <si>
    <t>1A3</t>
  </si>
  <si>
    <t>Energía</t>
  </si>
  <si>
    <t>Transporte</t>
  </si>
  <si>
    <t>Extracción de madera</t>
  </si>
  <si>
    <t>1A1</t>
  </si>
  <si>
    <t>Industrias de la energía</t>
  </si>
  <si>
    <t>1A2</t>
  </si>
  <si>
    <t>Industrias manufactureras y de la construcción</t>
  </si>
  <si>
    <t>Extracción de leña</t>
  </si>
  <si>
    <t>1A5</t>
  </si>
  <si>
    <t>No especificado</t>
  </si>
  <si>
    <t>1A4</t>
  </si>
  <si>
    <t>Otros sectores</t>
  </si>
  <si>
    <t>4A</t>
  </si>
  <si>
    <t>Eliminación de desechos sólidos</t>
  </si>
  <si>
    <t>Tierras convertidas en tierras pastizales</t>
  </si>
  <si>
    <t xml:space="preserve">2A1  </t>
  </si>
  <si>
    <t>Producción de Cemento</t>
  </si>
  <si>
    <t>Desechos</t>
  </si>
  <si>
    <t>4D2</t>
  </si>
  <si>
    <t xml:space="preserve">Tratamiento y eliminación de aguas residuales industriales </t>
  </si>
  <si>
    <t>1B2</t>
  </si>
  <si>
    <t>Petróleo y gas natural</t>
  </si>
  <si>
    <t xml:space="preserve">2A4  </t>
  </si>
  <si>
    <t>Otros usos de los carbonatos en los procesos</t>
  </si>
  <si>
    <t>Tierras convertidas en humedales</t>
  </si>
  <si>
    <t>Tierras convertidas en tierras forestales</t>
  </si>
  <si>
    <t>3.B.6.b</t>
  </si>
  <si>
    <t>Tierras convertidas en otras tierras</t>
  </si>
  <si>
    <t>Quema de biomasa en tierras agrícolas (quemas agrícolas)</t>
  </si>
  <si>
    <t>4D1</t>
  </si>
  <si>
    <t>Tratamiento y eliminación de aguas residuales domésticas</t>
  </si>
  <si>
    <t>Tierras convertidas en asentamientos</t>
  </si>
  <si>
    <t>2A2</t>
  </si>
  <si>
    <t xml:space="preserve">Producción de Cal </t>
  </si>
  <si>
    <t xml:space="preserve">2C1  </t>
  </si>
  <si>
    <t>Producción de Hierro y Acero</t>
  </si>
  <si>
    <t xml:space="preserve">2A3  </t>
  </si>
  <si>
    <t xml:space="preserve">Producción de Vidrio </t>
  </si>
  <si>
    <t>Incendios forestales</t>
  </si>
  <si>
    <t>4B</t>
  </si>
  <si>
    <t>Tratamiento biológico de los desechos sólidos</t>
  </si>
  <si>
    <t>3.C.1.a</t>
  </si>
  <si>
    <t>Quema de biomasa en tierras forestales (incendios forestales)</t>
  </si>
  <si>
    <t>2D</t>
  </si>
  <si>
    <t>Uso de lubricantes</t>
  </si>
  <si>
    <t>2D2</t>
  </si>
  <si>
    <t>Uso de Cera Parafina</t>
  </si>
  <si>
    <t xml:space="preserve">Producción de Plomo </t>
  </si>
  <si>
    <t>Quema de biomasa</t>
  </si>
  <si>
    <t>Manejo de Estiercol - Emisiones de CH4 Ganado no lechero vacas</t>
  </si>
  <si>
    <t>Manejo de Estiercol - Emisiones de CH4 Ganado porcino</t>
  </si>
  <si>
    <t>3A3</t>
  </si>
  <si>
    <t>Manejo de Estiercol - Emisiones Directas de N2O Ganado avicola</t>
  </si>
  <si>
    <t>Manejo de Estiercol - Emisiones Directas de N2O Ganado porcino</t>
  </si>
  <si>
    <t>Manejo de Estiercol - Emisiones Indirectas de N2O Ganado porcino</t>
  </si>
  <si>
    <t>Manejo de Estiercol - Emisiones Indirectas de N2O Ganado avicola</t>
  </si>
  <si>
    <t>3C8</t>
  </si>
  <si>
    <t>Fermentación Entérica - Emisiones de CH4 Ganado no lechero vacas</t>
  </si>
  <si>
    <t>Suelos Agrícolas - Emisiones Directas N2O Fertilizantes orgánicos</t>
  </si>
  <si>
    <t>Evaluación de tendencia Txj</t>
  </si>
  <si>
    <t>Contribución a la tendencia</t>
  </si>
  <si>
    <t>X</t>
  </si>
  <si>
    <t>Ranking de la tendencia</t>
  </si>
  <si>
    <t>NE</t>
  </si>
  <si>
    <t>NO</t>
  </si>
  <si>
    <t>IE</t>
  </si>
  <si>
    <t>Cebada</t>
  </si>
  <si>
    <t>Sugar Cane</t>
  </si>
  <si>
    <t>AR5</t>
  </si>
  <si>
    <t>Ganado</t>
  </si>
  <si>
    <t>Emisiones de cultivos agrícolas</t>
  </si>
  <si>
    <t>Emisiones CO2 eq</t>
  </si>
  <si>
    <t>El factor propio es calculado en base a los datos del proyecto GCI del periodo 2014-2018, incluye todas las variables requeridas para el cálculo del mismo de forma regional y por categoría, el Ym es usado por defecto del IPCC</t>
  </si>
  <si>
    <t>El cálculo del factor de emisión propio utiliza las variables del proyecto GCI levantadas en un muestreo de fincas representivo a nivel nacional</t>
  </si>
  <si>
    <t>Corresponde al número de toros de 2 o más años de edad</t>
  </si>
  <si>
    <t>Corresponde al número de vacas de 2 o más años de edad menos el número de vacas ordeñadas</t>
  </si>
  <si>
    <t>Registro de vacunación por fiebre aftosa de agrocalidad</t>
  </si>
  <si>
    <t>Se confirman estadisticas similares y poblaciones estacionales para la categoría, las tasas de crecimiento se proyectan desde los datos de 2016 y 2018 para los siguientes años</t>
  </si>
  <si>
    <t>Datos de CONAVE, bajo la consideración de ciclos productivos o dias vivo del animal (45)</t>
  </si>
  <si>
    <t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t>
  </si>
  <si>
    <t>Datos de CONAVE considerando los dias vivo del animal al año</t>
  </si>
  <si>
    <t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t>
  </si>
  <si>
    <t>FE propio para Ecuador calculado en base a los parametros levantados en campo por el Proyecto Ganadería Climáticamente Inteligente-- NAMA de FAO, cálculos realizados por el equipo INGEI Agricultura, Ym tomado de los valores por defecto para la región del IPCC</t>
  </si>
  <si>
    <t>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t>
  </si>
  <si>
    <t>se confirma que el dato puede ser usado como dato final (dias vivo) considerando que el formulario del INEC pregunta por las existencias al momento de la encuesta, y no existe estadistica nacional para discretizar aquella población que vive menos de un año.</t>
  </si>
  <si>
    <t>Se usa el dato de existencias, para afinar la estadistica de "dias vivo", el periodo de dias vivo se consideran 27 semanas</t>
  </si>
  <si>
    <t>Dato de actividad desagregado por región, dato de existencias población adulta de mas de dos años</t>
  </si>
  <si>
    <t>Datos Agrocalidad, registro vacunación por fiebre aftosa.</t>
  </si>
  <si>
    <t>Los datos de periodo por cuatrimestre tratados con el MAG presentan  variaciones según temporada, provincia y circunstancias climáticas, por lo que se decide adoptar el dato recomendada para América del sur por el IPCC</t>
  </si>
  <si>
    <t>La asignación de ecosistemas fue conversada y definida con especialistas del MAG según las caracteristicas de producción en cada cuatrimestre reportado, los % de area cultivada según el MAG son aplicados al total generado en la ESPAC.</t>
  </si>
  <si>
    <t>Las condiciones analizadas para la asignación de factores consideran los datos climaticos y de precipitaciones durante el cuarimestre previo según las mismas consideraciones conversadas con el MAG y reportadas en sus informes cuatrimestrales generados por CGINA</t>
  </si>
  <si>
    <t>Se obtiene de la división del total de fertilizante orgánico aplicado en arroz para el total de hectareas cultivadas por año</t>
  </si>
  <si>
    <t>Se usa NMMS_Avb (hoja 3C6) como FAM como señala IPCC 2006. Es necesario el procesamiento de la base SPSS de la ESPAC-INEC, la conversión de unidades de medida y la especificacion del resultado por cultivo y tipo de fertilizante para obtener el resultado</t>
  </si>
  <si>
    <t>El dato esta disponible en la base SPSS de la ESPAC para arroz especificamente, es necesario depurar conversion de unidades para obtenerlo</t>
  </si>
  <si>
    <t>Variables utilizadas en cálculo inicial</t>
  </si>
  <si>
    <t>ECUADOR</t>
  </si>
  <si>
    <t>INDICE DE CATEGORÍAS</t>
  </si>
  <si>
    <t>Las tablas CTR comunes del inventario se integran al final</t>
  </si>
  <si>
    <t>(*)</t>
  </si>
  <si>
    <t>SUMMARY 1  SUMMARY REPORT FOR NATIONAL GREENHOUSE GAS INVENTORIES</t>
  </si>
  <si>
    <r>
      <t>Net CO</t>
    </r>
    <r>
      <rPr>
        <b/>
        <vertAlign val="subscript"/>
        <sz val="9"/>
        <color indexed="8"/>
        <rFont val="Times New Roman"/>
        <family val="1"/>
      </rPr>
      <t xml:space="preserve">2 
</t>
    </r>
    <r>
      <rPr>
        <b/>
        <sz val="9"/>
        <color indexed="8"/>
        <rFont val="Times New Roman"/>
        <family val="1"/>
      </rPr>
      <t>emissions/
removals</t>
    </r>
  </si>
  <si>
    <r>
      <t>N</t>
    </r>
    <r>
      <rPr>
        <b/>
        <vertAlign val="subscript"/>
        <sz val="9"/>
        <color indexed="8"/>
        <rFont val="Times New Roman"/>
        <family val="1"/>
      </rPr>
      <t>2</t>
    </r>
    <r>
      <rPr>
        <b/>
        <sz val="9"/>
        <color indexed="8"/>
        <rFont val="Times New Roman"/>
        <family val="1"/>
      </rPr>
      <t>O</t>
    </r>
  </si>
  <si>
    <r>
      <t>HFCs</t>
    </r>
    <r>
      <rPr>
        <b/>
        <vertAlign val="superscript"/>
        <sz val="9"/>
        <rFont val="Times New Roman"/>
        <family val="1"/>
      </rPr>
      <t xml:space="preserve"> </t>
    </r>
    <r>
      <rPr>
        <vertAlign val="superscript"/>
        <sz val="9"/>
        <rFont val="Times New Roman"/>
        <family val="1"/>
      </rPr>
      <t>(1)</t>
    </r>
  </si>
  <si>
    <r>
      <t>PFCs</t>
    </r>
    <r>
      <rPr>
        <b/>
        <vertAlign val="superscript"/>
        <sz val="9"/>
        <rFont val="Times New Roman"/>
        <family val="1"/>
      </rPr>
      <t xml:space="preserve"> </t>
    </r>
    <r>
      <rPr>
        <vertAlign val="superscript"/>
        <sz val="9"/>
        <rFont val="Times New Roman"/>
        <family val="1"/>
      </rPr>
      <t>(1)</t>
    </r>
  </si>
  <si>
    <r>
      <t>Unspecified
mix of HFCs
and PFCs</t>
    </r>
    <r>
      <rPr>
        <b/>
        <vertAlign val="superscript"/>
        <sz val="9"/>
        <rFont val="Times New Roman"/>
        <family val="1"/>
      </rPr>
      <t xml:space="preserve"> </t>
    </r>
    <r>
      <rPr>
        <vertAlign val="superscript"/>
        <sz val="9"/>
        <rFont val="Times New Roman"/>
        <family val="1"/>
      </rPr>
      <t>(1)</t>
    </r>
  </si>
  <si>
    <r>
      <t>SF</t>
    </r>
    <r>
      <rPr>
        <b/>
        <vertAlign val="subscript"/>
        <sz val="9"/>
        <rFont val="Times New Roman"/>
        <family val="1"/>
      </rPr>
      <t>6</t>
    </r>
  </si>
  <si>
    <r>
      <t>NF</t>
    </r>
    <r>
      <rPr>
        <b/>
        <vertAlign val="subscript"/>
        <sz val="11"/>
        <rFont val="Times New Roman"/>
        <family val="1"/>
      </rPr>
      <t>3</t>
    </r>
  </si>
  <si>
    <t xml:space="preserve">CO </t>
  </si>
  <si>
    <r>
      <t>SO</t>
    </r>
    <r>
      <rPr>
        <b/>
        <vertAlign val="subscript"/>
        <sz val="9"/>
        <rFont val="Times New Roman"/>
        <family val="1"/>
      </rPr>
      <t>X</t>
    </r>
  </si>
  <si>
    <r>
      <t>Total GHG emissions/removals</t>
    </r>
    <r>
      <rPr>
        <sz val="9"/>
        <rFont val="Times New Roman"/>
        <family val="1"/>
      </rPr>
      <t xml:space="preserve"> </t>
    </r>
    <r>
      <rPr>
        <vertAlign val="superscript"/>
        <sz val="9"/>
        <rFont val="Times New Roman"/>
        <family val="1"/>
      </rPr>
      <t>(2)</t>
    </r>
    <r>
      <rPr>
        <b/>
        <sz val="9"/>
        <rFont val="Times New Roman"/>
        <family val="1"/>
      </rPr>
      <t xml:space="preserve"> </t>
    </r>
  </si>
  <si>
    <r>
      <t>CO</t>
    </r>
    <r>
      <rPr>
        <b/>
        <vertAlign val="subscript"/>
        <sz val="9"/>
        <rFont val="Times New Roman"/>
        <family val="1"/>
      </rPr>
      <t>2</t>
    </r>
    <r>
      <rPr>
        <b/>
        <sz val="9"/>
        <rFont val="Times New Roman"/>
        <family val="1"/>
      </rPr>
      <t xml:space="preserve"> equivalents (kt) </t>
    </r>
    <r>
      <rPr>
        <vertAlign val="superscript"/>
        <sz val="9"/>
        <rFont val="Times New Roman"/>
        <family val="1"/>
      </rPr>
      <t>(3)</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</si>
  <si>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</si>
  <si>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</si>
  <si>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</si>
  <si>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</si>
  <si>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</si>
  <si>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</si>
  <si>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</si>
  <si>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</si>
  <si>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 Fugitive emissions from fuels</t>
  </si>
  <si>
    <t>1.B.1.  Solid fuels</t>
  </si>
  <si>
    <t>1.B.2.  Oil and natural gas and other emissions from energy production</t>
  </si>
  <si>
    <r>
      <t>1.C. CO</t>
    </r>
    <r>
      <rPr>
        <vertAlign val="subscript"/>
        <sz val="9"/>
        <rFont val="Times New Roman"/>
        <family val="1"/>
      </rPr>
      <t>2</t>
    </r>
    <r>
      <rPr>
        <sz val="9"/>
        <rFont val="Times New Roman"/>
        <family val="1"/>
      </rPr>
      <t xml:space="preserve"> Transport and storage</t>
    </r>
  </si>
  <si>
    <t>2.  Industrial processes and product use</t>
  </si>
  <si>
    <t>2.A.  Mineral industry</t>
  </si>
  <si>
    <t>2.B.  Chemical industry</t>
  </si>
  <si>
    <t>2.C.  Metal industry</t>
  </si>
  <si>
    <t xml:space="preserve">2.D.  Non-energy products from fuels and solvent use </t>
  </si>
  <si>
    <t>2.E.  Electronic industry</t>
  </si>
  <si>
    <t>2.F.  Product uses as substitutes for ODS</t>
  </si>
  <si>
    <t>2.G.  Other product manufacture and use</t>
  </si>
  <si>
    <r>
      <t xml:space="preserve">2.H.  Other </t>
    </r>
    <r>
      <rPr>
        <vertAlign val="superscript"/>
        <sz val="9"/>
        <rFont val="Times New Roman"/>
        <family val="1"/>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</si>
  <si>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</si>
  <si>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</si>
  <si>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</si>
  <si>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</si>
  <si>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</si>
  <si>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</si>
  <si>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</si>
  <si>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</si>
  <si>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</si>
  <si>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t>4.  Land use, land-use change and forestry</t>
    </r>
    <r>
      <rPr>
        <b/>
        <vertAlign val="superscript"/>
        <sz val="9"/>
        <rFont val="Times New Roman"/>
        <family val="1"/>
      </rPr>
      <t xml:space="preserve">  </t>
    </r>
    <r>
      <rPr>
        <vertAlign val="superscript"/>
        <sz val="9"/>
        <rFont val="Times New Roman"/>
        <family val="1"/>
      </rPr>
      <t>(5)</t>
    </r>
  </si>
  <si>
    <r>
      <t xml:space="preserve">4.A. Forest land </t>
    </r>
    <r>
      <rPr>
        <vertAlign val="superscript"/>
        <sz val="9"/>
        <rFont val="Times New Roman"/>
        <family val="1"/>
      </rPr>
      <t>(5)</t>
    </r>
  </si>
  <si>
    <r>
      <t xml:space="preserve">4.B. Cropland </t>
    </r>
    <r>
      <rPr>
        <vertAlign val="superscript"/>
        <sz val="9"/>
        <rFont val="Times New Roman"/>
        <family val="1"/>
      </rPr>
      <t>(5)</t>
    </r>
  </si>
  <si>
    <r>
      <t xml:space="preserve">4.C. Grassland </t>
    </r>
    <r>
      <rPr>
        <vertAlign val="superscript"/>
        <sz val="9"/>
        <rFont val="Times New Roman"/>
        <family val="1"/>
      </rPr>
      <t xml:space="preserve">(5) </t>
    </r>
  </si>
  <si>
    <r>
      <t xml:space="preserve">4.D. Wetlands </t>
    </r>
    <r>
      <rPr>
        <vertAlign val="superscript"/>
        <sz val="9"/>
        <rFont val="Times New Roman"/>
        <family val="1"/>
      </rPr>
      <t>(5)</t>
    </r>
  </si>
  <si>
    <r>
      <t xml:space="preserve">4.E. Settlements </t>
    </r>
    <r>
      <rPr>
        <vertAlign val="superscript"/>
        <sz val="9"/>
        <rFont val="Times New Roman"/>
        <family val="1"/>
      </rPr>
      <t>(5)</t>
    </r>
  </si>
  <si>
    <r>
      <t xml:space="preserve">4.F. Other land </t>
    </r>
    <r>
      <rPr>
        <vertAlign val="superscript"/>
        <sz val="9"/>
        <rFont val="Times New Roman"/>
        <family val="1"/>
      </rPr>
      <t>(5)</t>
    </r>
    <r>
      <rPr>
        <sz val="9"/>
        <rFont val="Times New Roman"/>
        <family val="1"/>
      </rPr>
      <t xml:space="preserve"> </t>
    </r>
  </si>
  <si>
    <r>
      <t>4.G. Harvested wood products</t>
    </r>
    <r>
      <rPr>
        <vertAlign val="superscript"/>
        <sz val="9"/>
        <rFont val="Times New Roman"/>
        <family val="1"/>
      </rPr>
      <t xml:space="preserve"> (5) </t>
    </r>
  </si>
  <si>
    <r>
      <t xml:space="preserve">4.H. Other </t>
    </r>
    <r>
      <rPr>
        <vertAlign val="superscript"/>
        <sz val="9"/>
        <rFont val="Times New Roman"/>
        <family val="1"/>
      </rPr>
      <t>(5)</t>
    </r>
    <r>
      <rPr>
        <sz val="9"/>
        <rFont val="Times New Roman"/>
        <family val="1"/>
      </rPr>
      <t xml:space="preserve"> </t>
    </r>
  </si>
  <si>
    <t>5.  Waste</t>
  </si>
  <si>
    <r>
      <t xml:space="preserve">5.A.  Solid waste disposal </t>
    </r>
    <r>
      <rPr>
        <vertAlign val="superscript"/>
        <sz val="9"/>
        <rFont val="Times New Roman"/>
        <family val="1"/>
      </rPr>
      <t>(6)</t>
    </r>
  </si>
  <si>
    <t xml:space="preserve">5.B.  Biological treatment of solid waste </t>
  </si>
  <si>
    <r>
      <t xml:space="preserve">5.C.  Incineration and open burning of waste </t>
    </r>
    <r>
      <rPr>
        <vertAlign val="superscript"/>
        <sz val="9"/>
        <rFont val="Times New Roman"/>
        <family val="1"/>
      </rPr>
      <t>(6)</t>
    </r>
  </si>
  <si>
    <t>5.D.  Wastewater treatment and discharge</t>
  </si>
  <si>
    <r>
      <t>5.E.  Other</t>
    </r>
    <r>
      <rPr>
        <b/>
        <i/>
        <sz val="9"/>
        <rFont val="Times New Roman"/>
        <family val="1"/>
      </rPr>
      <t xml:space="preserve"> </t>
    </r>
    <r>
      <rPr>
        <vertAlign val="superscript"/>
        <sz val="9"/>
        <rFont val="Times New Roman"/>
        <family val="1"/>
      </rPr>
      <t>(6)</t>
    </r>
  </si>
  <si>
    <r>
      <t>6.  Other</t>
    </r>
    <r>
      <rPr>
        <b/>
        <i/>
        <sz val="9"/>
        <rFont val="Times New Roman"/>
        <family val="1"/>
      </rPr>
      <t xml:space="preserve">   (please specify)</t>
    </r>
    <r>
      <rPr>
        <b/>
        <i/>
        <vertAlign val="superscript"/>
        <sz val="9"/>
        <rFont val="Times New Roman"/>
        <family val="1"/>
      </rPr>
      <t xml:space="preserve"> </t>
    </r>
    <r>
      <rPr>
        <vertAlign val="superscript"/>
        <sz val="9"/>
        <rFont val="Times New Roman"/>
        <family val="1"/>
      </rPr>
      <t>(7)</t>
    </r>
  </si>
  <si>
    <r>
      <t>Memo items:</t>
    </r>
    <r>
      <rPr>
        <vertAlign val="superscript"/>
        <sz val="9"/>
        <rFont val="Times New Roman"/>
        <family val="1"/>
      </rPr>
      <t xml:space="preserve"> (8)</t>
    </r>
  </si>
  <si>
    <t>1.D.1. International bunkers</t>
  </si>
  <si>
    <t>1.D.1.a. Aviation</t>
  </si>
  <si>
    <t>1.D.1.b. Navigation</t>
  </si>
  <si>
    <t>1.D.2. Multilateral operations</t>
  </si>
  <si>
    <r>
      <t>1.D.3. CO</t>
    </r>
    <r>
      <rPr>
        <b/>
        <vertAlign val="subscript"/>
        <sz val="9"/>
        <rFont val="Times New Roman"/>
        <family val="1"/>
      </rPr>
      <t>2</t>
    </r>
    <r>
      <rPr>
        <b/>
        <sz val="9"/>
        <rFont val="Times New Roman"/>
        <family val="1"/>
      </rPr>
      <t xml:space="preserve"> emissions from biomass</t>
    </r>
  </si>
  <si>
    <r>
      <t>1.D.4. CO</t>
    </r>
    <r>
      <rPr>
        <b/>
        <vertAlign val="subscript"/>
        <sz val="9"/>
        <rFont val="Times New Roman"/>
        <family val="1"/>
      </rPr>
      <t>2</t>
    </r>
    <r>
      <rPr>
        <b/>
        <sz val="9"/>
        <rFont val="Times New Roman"/>
        <family val="1"/>
      </rPr>
      <t xml:space="preserve"> captured</t>
    </r>
    <r>
      <rPr>
        <sz val="9"/>
        <rFont val="Times New Roman"/>
        <family val="1"/>
      </rPr>
      <t xml:space="preserve"> </t>
    </r>
  </si>
  <si>
    <t xml:space="preserve">5.F.1. Long-term storage of C in waste disposal sites </t>
  </si>
  <si>
    <r>
      <t>Indirect N</t>
    </r>
    <r>
      <rPr>
        <b/>
        <vertAlign val="subscript"/>
        <sz val="9"/>
        <rFont val="Times New Roman"/>
        <family val="1"/>
      </rPr>
      <t>2</t>
    </r>
    <r>
      <rPr>
        <b/>
        <sz val="9"/>
        <rFont val="Times New Roman"/>
        <family val="1"/>
      </rPr>
      <t>O</t>
    </r>
    <r>
      <rPr>
        <sz val="9"/>
        <rFont val="Times New Roman"/>
        <family val="1"/>
      </rPr>
      <t xml:space="preserve"> </t>
    </r>
  </si>
  <si>
    <r>
      <t>Indirect CO</t>
    </r>
    <r>
      <rPr>
        <b/>
        <vertAlign val="subscript"/>
        <sz val="9"/>
        <rFont val="Times New Roman"/>
        <family val="1"/>
      </rPr>
      <t xml:space="preserve">2 </t>
    </r>
  </si>
  <si>
    <r>
      <t>SUMMARY 2   SUMMARY REPORT FOR CO</t>
    </r>
    <r>
      <rPr>
        <b/>
        <vertAlign val="subscript"/>
        <sz val="12"/>
        <rFont val="Times New Roman"/>
        <family val="1"/>
      </rPr>
      <t>2</t>
    </r>
    <r>
      <rPr>
        <b/>
        <sz val="12"/>
        <rFont val="Times New Roman"/>
        <family val="1"/>
      </rPr>
      <t xml:space="preserve"> EQUIVALENT EMISSIONS</t>
    </r>
  </si>
  <si>
    <r>
      <t>CO</t>
    </r>
    <r>
      <rPr>
        <b/>
        <vertAlign val="subscript"/>
        <sz val="9"/>
        <color indexed="8"/>
        <rFont val="Times New Roman"/>
        <family val="1"/>
      </rPr>
      <t>2</t>
    </r>
    <r>
      <rPr>
        <b/>
        <vertAlign val="superscript"/>
        <sz val="9"/>
        <color indexed="8"/>
        <rFont val="Times New Roman"/>
        <family val="1"/>
      </rPr>
      <t xml:space="preserve"> </t>
    </r>
    <r>
      <rPr>
        <vertAlign val="superscript"/>
        <sz val="9"/>
        <color rgb="FF000000"/>
        <rFont val="Times New Roman"/>
        <family val="1"/>
      </rPr>
      <t>(1)</t>
    </r>
  </si>
  <si>
    <t xml:space="preserve">HFCs </t>
  </si>
  <si>
    <t>Unspecified mix of HFCs and PFCs</t>
  </si>
  <si>
    <r>
      <t>NF</t>
    </r>
    <r>
      <rPr>
        <b/>
        <vertAlign val="subscript"/>
        <sz val="9"/>
        <color indexed="8"/>
        <rFont val="Times New Roman"/>
        <family val="1"/>
      </rPr>
      <t>3</t>
    </r>
  </si>
  <si>
    <t xml:space="preserve">Total </t>
  </si>
  <si>
    <r>
      <t>CO</t>
    </r>
    <r>
      <rPr>
        <b/>
        <vertAlign val="subscript"/>
        <sz val="9"/>
        <rFont val="Times New Roman"/>
        <family val="1"/>
      </rPr>
      <t>2</t>
    </r>
    <r>
      <rPr>
        <b/>
        <sz val="9"/>
        <rFont val="Times New Roman"/>
        <family val="1"/>
      </rPr>
      <t xml:space="preserve"> equivalents (kt ) </t>
    </r>
    <r>
      <rPr>
        <vertAlign val="superscript"/>
        <sz val="9"/>
        <rFont val="Times New Roman"/>
        <family val="1"/>
      </rPr>
      <t>(2)</t>
    </r>
  </si>
  <si>
    <r>
      <t>Total (net emissions)</t>
    </r>
    <r>
      <rPr>
        <b/>
        <vertAlign val="superscript"/>
        <sz val="9"/>
        <rFont val="Times New Roman"/>
        <family val="1"/>
      </rPr>
      <t xml:space="preserve"> </t>
    </r>
    <r>
      <rPr>
        <vertAlign val="superscript"/>
        <sz val="9"/>
        <rFont val="Times New Roman"/>
        <family val="1"/>
      </rPr>
      <t>(1)</t>
    </r>
  </si>
  <si>
    <t>1.A. Fuel combustion</t>
  </si>
  <si>
    <t>1.A.2.  Manufacturing industries and construction</t>
  </si>
  <si>
    <r>
      <t>1.C. CO</t>
    </r>
    <r>
      <rPr>
        <vertAlign val="subscript"/>
        <sz val="9"/>
        <rFont val="Times New Roman"/>
        <family val="1"/>
      </rPr>
      <t>2</t>
    </r>
    <r>
      <rPr>
        <sz val="9"/>
        <rFont val="Times New Roman"/>
        <family val="1"/>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</si>
  <si>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</si>
  <si>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</si>
  <si>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</si>
  <si>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</si>
  <si>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</si>
  <si>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t>4. Land use, land-use change and forestry</t>
    </r>
    <r>
      <rPr>
        <b/>
        <vertAlign val="superscript"/>
        <sz val="9"/>
        <rFont val="Times New Roman"/>
        <family val="1"/>
      </rPr>
      <t xml:space="preserve"> </t>
    </r>
    <r>
      <rPr>
        <vertAlign val="superscript"/>
        <sz val="9"/>
        <rFont val="Times New Roman"/>
        <family val="1"/>
      </rPr>
      <t>(1)</t>
    </r>
  </si>
  <si>
    <t>4.A. Forest land</t>
  </si>
  <si>
    <t>4.B. Cropland</t>
  </si>
  <si>
    <t>4.C. Grassland</t>
  </si>
  <si>
    <t>4.D. Wetlands</t>
  </si>
  <si>
    <t xml:space="preserve">4.E. Settlements </t>
  </si>
  <si>
    <t>4.F. Other land</t>
  </si>
  <si>
    <t>4.G. Harvested wood products</t>
  </si>
  <si>
    <r>
      <t>4.H. Other</t>
    </r>
    <r>
      <rPr>
        <i/>
        <sz val="9"/>
        <rFont val="Times New Roman"/>
        <family val="1"/>
      </rPr>
      <t xml:space="preserve">       </t>
    </r>
  </si>
  <si>
    <r>
      <t>5.A.  Solid waste disposal</t>
    </r>
    <r>
      <rPr>
        <b/>
        <strike/>
        <sz val="9"/>
        <rFont val="Times New Roman"/>
        <family val="1"/>
      </rPr>
      <t xml:space="preserve"> </t>
    </r>
  </si>
  <si>
    <t>5.B.  Biological treatment of solid waste</t>
  </si>
  <si>
    <t>5.C.  Incineration and open burning of waste</t>
  </si>
  <si>
    <t>5.D.  Waste water treatment and discharge</t>
  </si>
  <si>
    <r>
      <t>5.E.  Other</t>
    </r>
    <r>
      <rPr>
        <b/>
        <i/>
        <sz val="9"/>
        <rFont val="Times New Roman"/>
        <family val="1"/>
      </rPr>
      <t xml:space="preserve"> </t>
    </r>
  </si>
  <si>
    <r>
      <t xml:space="preserve">6.  Other </t>
    </r>
    <r>
      <rPr>
        <i/>
        <sz val="9"/>
        <rFont val="Times New Roman"/>
        <family val="1"/>
      </rPr>
      <t>(as specified in summary 1)</t>
    </r>
    <r>
      <rPr>
        <b/>
        <i/>
        <sz val="9"/>
        <rFont val="Times New Roman"/>
        <family val="1"/>
      </rPr>
      <t xml:space="preserve"> </t>
    </r>
  </si>
  <si>
    <r>
      <t>Memo items:</t>
    </r>
    <r>
      <rPr>
        <b/>
        <vertAlign val="superscript"/>
        <sz val="9"/>
        <rFont val="Times New Roman"/>
        <family val="1"/>
      </rPr>
      <t xml:space="preserve"> </t>
    </r>
    <r>
      <rPr>
        <vertAlign val="superscript"/>
        <sz val="9"/>
        <rFont val="Times New Roman"/>
        <family val="1"/>
      </rPr>
      <t>(3)</t>
    </r>
  </si>
  <si>
    <r>
      <t>Indirect N</t>
    </r>
    <r>
      <rPr>
        <b/>
        <vertAlign val="subscript"/>
        <sz val="9"/>
        <rFont val="Times New Roman"/>
        <family val="1"/>
      </rPr>
      <t>2</t>
    </r>
    <r>
      <rPr>
        <b/>
        <sz val="9"/>
        <rFont val="Times New Roman"/>
        <family val="1"/>
      </rPr>
      <t>O</t>
    </r>
  </si>
  <si>
    <r>
      <t>Indirect CO</t>
    </r>
    <r>
      <rPr>
        <b/>
        <vertAlign val="subscript"/>
        <sz val="9"/>
        <rFont val="Times New Roman"/>
        <family val="1"/>
      </rPr>
      <t>2</t>
    </r>
    <r>
      <rPr>
        <b/>
        <vertAlign val="superscript"/>
        <sz val="9"/>
        <rFont val="Times New Roman"/>
        <family val="1"/>
      </rPr>
      <t xml:space="preserve"> </t>
    </r>
    <r>
      <rPr>
        <vertAlign val="superscript"/>
        <sz val="9"/>
        <rFont val="Times New Roman"/>
        <family val="1"/>
      </rPr>
      <t>(4)</t>
    </r>
  </si>
  <si>
    <r>
      <t>Total CO</t>
    </r>
    <r>
      <rPr>
        <b/>
        <vertAlign val="subscript"/>
        <sz val="9"/>
        <rFont val="Times New Roman"/>
        <family val="1"/>
      </rPr>
      <t>2</t>
    </r>
    <r>
      <rPr>
        <b/>
        <sz val="9"/>
        <rFont val="Times New Roman"/>
        <family val="1"/>
      </rPr>
      <t xml:space="preserve"> equivalent emissions without LULUCF</t>
    </r>
  </si>
  <si>
    <r>
      <t>Total CO</t>
    </r>
    <r>
      <rPr>
        <b/>
        <vertAlign val="subscript"/>
        <sz val="9"/>
        <rFont val="Times New Roman"/>
        <family val="1"/>
      </rPr>
      <t>2</t>
    </r>
    <r>
      <rPr>
        <b/>
        <sz val="9"/>
        <rFont val="Times New Roman"/>
        <family val="1"/>
      </rPr>
      <t xml:space="preserve"> equivalent emissions with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</si>
  <si>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without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</si>
  <si>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 LULUCF</t>
    </r>
  </si>
  <si>
    <t xml:space="preserve">SUMMARY 3   SUMMARY REPORT FOR  METHODS AND EMISSION FACTORS USED </t>
  </si>
  <si>
    <t xml:space="preserve">GREENHOUSE GAS SOURCE AND SINK </t>
  </si>
  <si>
    <r>
      <t>CO</t>
    </r>
    <r>
      <rPr>
        <b/>
        <vertAlign val="subscript"/>
        <sz val="9"/>
        <color indexed="8"/>
        <rFont val="Times New Roman"/>
        <family val="1"/>
      </rPr>
      <t>2</t>
    </r>
  </si>
  <si>
    <t>CATEGORIES</t>
  </si>
  <si>
    <t>Method applied</t>
  </si>
  <si>
    <t>Emission factor</t>
  </si>
  <si>
    <t>2.  Industrial processes</t>
  </si>
  <si>
    <t>4.  Land use, land-use change and forestry</t>
  </si>
  <si>
    <r>
      <t xml:space="preserve">6.  Other </t>
    </r>
    <r>
      <rPr>
        <i/>
        <sz val="9"/>
        <rFont val="Times New Roman"/>
        <family val="1"/>
      </rPr>
      <t>(as specified in summary 1)</t>
    </r>
    <r>
      <rPr>
        <b/>
        <sz val="9"/>
        <rFont val="Times New Roman"/>
        <family val="1"/>
      </rPr>
      <t xml:space="preserve"> </t>
    </r>
  </si>
  <si>
    <t>T1,T2</t>
  </si>
  <si>
    <t>D,CS</t>
  </si>
  <si>
    <t>T1</t>
  </si>
  <si>
    <t>T2</t>
  </si>
  <si>
    <t>CS</t>
  </si>
  <si>
    <t>Ton/ha promedio</t>
  </si>
  <si>
    <t>https://repositorio.uta.edu.ec/bitstream/123456789/34717/1/Tesis-308%20%20Ingenier%C3%ADa%20Agron%C3%B3mica%20-%20Llamuca%20Manzano%20Fernando%20David.pdf</t>
  </si>
  <si>
    <t>tuberculos/papa</t>
  </si>
  <si>
    <t>Tuberculos</t>
  </si>
  <si>
    <t>Leguminosas</t>
  </si>
  <si>
    <t>residuos ton/Ha</t>
  </si>
  <si>
    <t>% de quema</t>
  </si>
  <si>
    <t>Residuos quemados</t>
  </si>
  <si>
    <t>FREJOL</t>
  </si>
  <si>
    <t>pérdidas nacionales del cultivo</t>
  </si>
  <si>
    <t>Masa a combustion</t>
  </si>
  <si>
    <t>PAPA</t>
  </si>
  <si>
    <t>Datos de actividad usados para la construcci[on de inventarios nacionales de gases de efecto invernadero serie 1994-2021 5CN/1BTR, directrices ipcc 2006 refinamiento 2019</t>
  </si>
  <si>
    <t>Retroproyección del dato considerando tasas de crecimiento del registro de agrocalidad - fiebre aftosa periodo 2016-2021 y la tasa de crecimiento el conjunto de bovinos mismo periodo</t>
  </si>
  <si>
    <t>Estimación según datos sectoriales levantados Calmosacorp, Asociación de caleros 2014 proyección según Superin. Compañias a 2022</t>
  </si>
  <si>
    <t>FAO, FAOSTATS 2022 (DATO 2021 NO DISPONIBLE AUN)</t>
  </si>
  <si>
    <t xml:space="preserve">Para el parámetro de masa de combustible se toman los factores por defecto IPCC 2006 al no contar con datos nacionales, en el caso de los cultivos de tuberculos y leguminosas se consideran estudios complementarios y opinión de expertos en cuanto al dato final, bajo el supuesto de baja incidencia en la practica d ela quema </t>
  </si>
  <si>
    <t>dedicadas a quema</t>
  </si>
  <si>
    <t>INVENTARIO NACIONAL DE GASES DE EFECTO INVERNADERO 2018 -- LIBRO DE CÁLCULOS</t>
  </si>
  <si>
    <t xml:space="preserve">ESPAC 2018 (datos ajustados y suavizados, se usan las tasas de variación interanual del registro de agrocalidad de vacunación por fiebre aftosa), tabla 66, </t>
  </si>
  <si>
    <t>ESPAC 2018, tabla 50. Este dato considera (Vacas madre, vacas vientre, otras hembras) menos el número de vacas lecheras</t>
  </si>
  <si>
    <t>ESPAC 2018 (datos ajustados y suavizados), tabla 57</t>
  </si>
  <si>
    <t>ESPAC 2018 (datos ajustados y suavizados), tabla 58</t>
  </si>
  <si>
    <t>ESPAC 2018 (datos ajustados y suavizados), tabla 56</t>
  </si>
  <si>
    <t>ESPAC 2018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2018 y 2018. Los saltos bruscos de crecimiento se deben a ajustes metodológicos realizador por la fuente.</t>
  </si>
  <si>
    <t>ESPAC 2018 , tabla 67</t>
  </si>
  <si>
    <t>ESPAC 2018 , tabla 61</t>
  </si>
  <si>
    <t>ESPAC 2018 , tabla 62,63</t>
  </si>
  <si>
    <t>El dato base total se toma de la ESPAC 2018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t>
  </si>
  <si>
    <t>Banco Central del Ecuador 2018 AJUSTADO POR VALOR FAO STAT (USO AGRICOLA, correspondiente al % de fertilizante que se utiliza en agricultura)</t>
  </si>
  <si>
    <t>Tabla 3C4.2 hoja "anexo 3C4" - ESPAC 2018 , INEC</t>
  </si>
  <si>
    <t>Anexo 3C4 -- ESPAC 2018</t>
  </si>
  <si>
    <t>ESPAC 2018_INEC</t>
  </si>
  <si>
    <t>ESPAC 2018 _INEC</t>
  </si>
  <si>
    <t>Banco Central del Ecuador 2018 y FAOSTAT (Uso agrícola)</t>
  </si>
  <si>
    <t>ESPAC 2018 procesamiento d ela base de datos SPSS, INEC</t>
  </si>
  <si>
    <t>Es necesario el procesamiento de la base SPSS de la ESPAC 2018-INEC, la conversión de unidades de medida y la especificacion del resultado por cultivo y tipo de fertilizante para obtener el resultado final</t>
  </si>
  <si>
    <t>ESPAC 2018 procesamiento de la base de datos SPSS, INEC</t>
  </si>
  <si>
    <t>Banco Central del Ecuador 2018</t>
  </si>
  <si>
    <t xml:space="preserve">tabla 3C2.1, Cooperativa de Cal y Cementina Chimborazo; Asociación de Productores de Cal de Chimborazo-Cotopaxi, estimado a 2014, el valor actualizado a 2018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t>
  </si>
  <si>
    <t>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2018 es extrapolado estadisticamente del dato calculado para 2014 debido a que los datos para dicho año son mas precisos</t>
  </si>
  <si>
    <t>Banco Central del Ecuador, Estadisticas de comercio exterior 2018, Dato proporcionado por Ministerio de Agricultura y Ganadería FAOSTAT "uso agricola de la urea"</t>
  </si>
  <si>
    <t>Tabla 3C4.1; ESPAC 2018 (corregida); FAOSTAT</t>
  </si>
  <si>
    <t>https://repositorio.iniap.gob.ec/bitstream/41000/5540/1/FREJOL%20%20ARBUSTIVO%20Y%20ARVEJA%20AUSTRO%201813%20nit.pdf</t>
  </si>
  <si>
    <t>Emisión  INGEI 2018
 (Gg CO2eq)</t>
  </si>
  <si>
    <t xml:space="preserve">CO2 </t>
  </si>
  <si>
    <t>SF6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</si>
</sst>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0.00_);_(* \(#,##0.00\);_(* &quot;-&quot;??_);_(@_)"/>
    <numFmt numFmtId="164" formatCode="_-* #,##0.00_-;\-* #,##0.00_-;_-* &quot;-&quot;??_-;_-@_-"/>
    <numFmt numFmtId="165" formatCode="_ * #,##0.00_ ;_ * \-#,##0.00_ ;_ * &quot;-&quot;??_ ;_ @_ "/>
    <numFmt numFmtId="166" formatCode="#,##0.0"/>
    <numFmt numFmtId="167" formatCode="&quot; &quot;#,##0.00&quot; &quot;;&quot; &quot;&quot;(&quot;#,##0.00&quot;)&quot;;&quot; &quot;&quot;-&quot;#&quot; &quot;;&quot; &quot;@&quot; &quot;"/>
    <numFmt numFmtId="168" formatCode="0.0"/>
    <numFmt numFmtId="169" formatCode="0.000"/>
    <numFmt numFmtId="170" formatCode="0.0%"/>
    <numFmt numFmtId="171" formatCode="#,##0.000"/>
    <numFmt numFmtId="172" formatCode="_-* #,##0_-;\-* #,##0_-;_-* &quot;-&quot;??_-;_-@_-"/>
    <numFmt numFmtId="173" formatCode="0.0000"/>
    <numFmt numFmtId="174" formatCode="0.00000000"/>
    <numFmt numFmtId="175" formatCode="#,##0.0000"/>
    <numFmt numFmtId="176" formatCode="#,##0.00000"/>
    <numFmt numFmtId="177" formatCode="0.000%"/>
    <numFmt numFmtId="178" formatCode="dd/mm/yyyy;@"/>
    <numFmt numFmtId="179" formatCode="_-* #,##0.00\ _€_-;\-* #,##0.00\ _€_-;_-* &quot;-&quot;??\ _€_-;_-@_-"/>
    <numFmt numFmtId="180" formatCode="#,##0.00_ ;\-#,##0.00\ "/>
    <numFmt numFmtId="181" formatCode="_-* #,##0.000000\ _€_-;\-* #,##0.000000\ _€_-;_-* &quot;-&quot;??\ _€_-;_-@_-"/>
    <numFmt numFmtId="182" formatCode="_ * #,##0.000_ ;_ * \-#,##0.000_ ;_ * &quot;-&quot;??_ ;_ @_ "/>
    <numFmt numFmtId="183" formatCode="_ * #,##0.00000_ ;_ * \-#,##0.00000_ ;_ * &quot;-&quot;?????_ ;_ @_ "/>
    <numFmt numFmtId="184" formatCode="_ * #,##0.0000_ ;_ * \-#,##0.0000_ ;_ * &quot;-&quot;????_ ;_ @_ "/>
    <numFmt numFmtId="185" formatCode="0.000000"/>
    <numFmt numFmtId="186" formatCode="_-* #,##0.0_-;\-* #,##0.0_-;_-* &quot;-&quot;??_-;_-@_-"/>
    <numFmt numFmtId="187" formatCode="#,##0.000000000"/>
    <numFmt numFmtId="188" formatCode="#,##0.00000_ ;\-#,##0.00000\ "/>
    <numFmt numFmtId="189" formatCode="0.00000"/>
    <numFmt numFmtId="190" formatCode="0.0000000000000000000000000000"/>
  </numFmts>
  <fonts count="226">
    <font>
      <sz val="11"/>
      <color theme="1"/>
      <name val="Liberation Sans"/>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indexed="8"/>
      <name val="Liberation Sans"/>
      <family val="2"/>
    </font>
    <font>
      <sz val="9"/>
      <color indexed="81"/>
      <name val="Tahoma"/>
      <family val="2"/>
    </font>
    <font>
      <b/>
      <sz val="9"/>
      <color indexed="81"/>
      <name val="Tahoma"/>
      <family val="2"/>
    </font>
    <font>
      <b/>
      <sz val="10"/>
      <name val="Calibri"/>
      <family val="2"/>
      <charset val="1"/>
    </font>
    <font>
      <sz val="10"/>
      <name val="Calibri"/>
      <family val="2"/>
      <charset val="1"/>
    </font>
    <font>
      <b/>
      <sz val="8"/>
      <name val="Times New Roman"/>
      <family val="1"/>
    </font>
    <font>
      <sz val="8"/>
      <name val="Times New Roman"/>
      <family val="1"/>
    </font>
    <font>
      <b/>
      <sz val="9"/>
      <name val="Times New Roman"/>
      <family val="1"/>
    </font>
    <font>
      <sz val="9"/>
      <name val="Times New Roman"/>
      <family val="1"/>
    </font>
    <font>
      <sz val="9"/>
      <name val="Calibri"/>
      <family val="2"/>
      <charset val="1"/>
    </font>
    <font>
      <vertAlign val="subscript"/>
      <sz val="12"/>
      <name val="Times New Roman"/>
      <family val="1"/>
    </font>
    <font>
      <b/>
      <sz val="10"/>
      <name val="Times New Roman"/>
      <family val="1"/>
    </font>
    <font>
      <sz val="10"/>
      <name val="Arial"/>
      <family val="2"/>
    </font>
    <font>
      <b/>
      <sz val="10"/>
      <name val="Arial"/>
      <family val="2"/>
    </font>
    <font>
      <sz val="8"/>
      <name val="Arial"/>
      <family val="2"/>
    </font>
    <font>
      <vertAlign val="subscript"/>
      <sz val="10"/>
      <name val="Arial"/>
      <family val="2"/>
    </font>
    <font>
      <b/>
      <sz val="12"/>
      <name val="Arial"/>
      <family val="2"/>
    </font>
    <font>
      <b/>
      <sz val="9"/>
      <name val="Arial"/>
      <family val="2"/>
    </font>
    <font>
      <b/>
      <vertAlign val="subscript"/>
      <sz val="9"/>
      <name val="Arial"/>
      <family val="2"/>
    </font>
    <font>
      <sz val="9"/>
      <name val="Arial"/>
      <family val="2"/>
    </font>
    <font>
      <vertAlign val="subscript"/>
      <sz val="9"/>
      <name val="Arial"/>
      <family val="2"/>
    </font>
    <font>
      <vertAlign val="superscript"/>
      <sz val="9"/>
      <name val="Arial"/>
      <family val="2"/>
    </font>
    <font>
      <b/>
      <vertAlign val="subscript"/>
      <sz val="9"/>
      <name val="Times New Roman"/>
      <family val="1"/>
    </font>
    <font>
      <vertAlign val="superscript"/>
      <sz val="8"/>
      <name val="Times New Roman"/>
      <family val="1"/>
    </font>
    <font>
      <b/>
      <sz val="8"/>
      <name val="Arial"/>
      <family val="2"/>
    </font>
    <font>
      <b/>
      <vertAlign val="subscript"/>
      <sz val="8"/>
      <name val="Arial"/>
      <family val="2"/>
    </font>
    <font>
      <vertAlign val="superscript"/>
      <sz val="8"/>
      <name val="Arial"/>
      <family val="2"/>
    </font>
    <font>
      <vertAlign val="subscript"/>
      <sz val="8"/>
      <name val="Arial"/>
      <family val="2"/>
    </font>
    <font>
      <vertAlign val="subscript"/>
      <sz val="8"/>
      <color indexed="8"/>
      <name val="Arial"/>
      <family val="2"/>
    </font>
    <font>
      <sz val="8"/>
      <color indexed="8"/>
      <name val="Arial"/>
      <family val="2"/>
    </font>
    <font>
      <b/>
      <vertAlign val="subscript"/>
      <sz val="8"/>
      <color indexed="8"/>
      <name val="Arial"/>
      <family val="2"/>
    </font>
    <font>
      <b/>
      <sz val="8"/>
      <color indexed="8"/>
      <name val="Arial"/>
      <family val="2"/>
    </font>
    <font>
      <sz val="10"/>
      <name val="Times New Roman"/>
      <family val="1"/>
    </font>
    <font>
      <b/>
      <sz val="9"/>
      <name val="Calibri"/>
      <family val="2"/>
    </font>
    <font>
      <sz val="10"/>
      <name val="Arial"/>
      <family val="2"/>
    </font>
    <font>
      <b/>
      <u/>
      <sz val="18"/>
      <name val="Calibri"/>
      <family val="2"/>
      <charset val="1"/>
    </font>
    <font>
      <b/>
      <sz val="14"/>
      <name val="Calibri"/>
      <family val="2"/>
      <charset val="1"/>
    </font>
    <font>
      <sz val="14"/>
      <name val="Calibri"/>
      <family val="2"/>
      <charset val="1"/>
    </font>
    <font>
      <b/>
      <sz val="11"/>
      <name val="Calibri"/>
      <family val="2"/>
      <charset val="1"/>
    </font>
    <font>
      <sz val="9"/>
      <color indexed="8"/>
      <name val="Times New Roman"/>
      <family val="1"/>
    </font>
    <font>
      <b/>
      <sz val="12"/>
      <color indexed="8"/>
      <name val="Liberation Sans"/>
      <family val="2"/>
    </font>
    <font>
      <b/>
      <sz val="14"/>
      <color indexed="8"/>
      <name val="Liberation Sans"/>
      <family val="2"/>
    </font>
    <font>
      <b/>
      <sz val="10"/>
      <color indexed="9"/>
      <name val="Arial"/>
      <family val="2"/>
    </font>
    <font>
      <b/>
      <sz val="12"/>
      <color indexed="9"/>
      <name val="Arial"/>
      <family val="2"/>
    </font>
    <font>
      <b/>
      <sz val="8"/>
      <name val="Liberation Sans"/>
      <family val="2"/>
    </font>
    <font>
      <sz val="10"/>
      <name val="Kalinga"/>
      <family val="2"/>
    </font>
    <font>
      <b/>
      <sz val="10"/>
      <name val="Kalinga"/>
      <family val="2"/>
    </font>
    <font>
      <b/>
      <sz val="10"/>
      <name val="Kalinga"/>
      <family val="2"/>
    </font>
    <font>
      <b/>
      <sz val="9"/>
      <name val="Kalinga"/>
      <family val="2"/>
    </font>
    <font>
      <sz val="10"/>
      <name val="Kalinga"/>
      <family val="2"/>
    </font>
    <font>
      <b/>
      <sz val="14"/>
      <name val="Kalinga"/>
      <family val="2"/>
    </font>
    <font>
      <sz val="10"/>
      <name val="Calibri"/>
      <family val="2"/>
    </font>
    <font>
      <vertAlign val="subscript"/>
      <sz val="10"/>
      <color indexed="8"/>
      <name val="Times New Roman"/>
      <family val="1"/>
    </font>
    <font>
      <sz val="8"/>
      <name val="Liberation Sans"/>
      <family val="2"/>
    </font>
    <font>
      <sz val="7"/>
      <name val="Arial"/>
      <family val="2"/>
    </font>
    <font>
      <b/>
      <vertAlign val="subscript"/>
      <sz val="12"/>
      <name val="Arial"/>
      <family val="2"/>
    </font>
    <font>
      <sz val="11"/>
      <color theme="1"/>
      <name val="Liberation Sans"/>
      <family val="2"/>
    </font>
    <font>
      <sz val="11"/>
      <color theme="1"/>
      <name val="Calibri"/>
      <family val="2"/>
      <scheme val="minor"/>
    </font>
    <font>
      <sz val="11"/>
      <color theme="0"/>
      <name val="Calibri"/>
      <family val="2"/>
      <scheme val="minor"/>
    </font>
    <font>
      <b/>
      <sz val="11"/>
      <color theme="0"/>
      <name val="Calibri"/>
      <family val="2"/>
      <scheme val="minor"/>
    </font>
    <font>
      <sz val="11"/>
      <color rgb="FF000000"/>
      <name val="Calibri"/>
      <family val="2"/>
    </font>
    <font>
      <b/>
      <i/>
      <sz val="16"/>
      <color theme="1"/>
      <name val="Liberation Sans"/>
      <family val="2"/>
    </font>
    <font>
      <u/>
      <sz val="11"/>
      <color theme="10"/>
      <name val="Liberation Sans"/>
      <family val="2"/>
    </font>
    <font>
      <u/>
      <sz val="10"/>
      <color theme="9" tint="-0.24994659260841701"/>
      <name val="Arial"/>
      <family val="2"/>
    </font>
    <font>
      <b/>
      <i/>
      <u/>
      <sz val="11"/>
      <color theme="1"/>
      <name val="Liberation Sans"/>
      <family val="2"/>
    </font>
    <font>
      <b/>
      <sz val="11"/>
      <color theme="1"/>
      <name val="Calibri"/>
      <family val="2"/>
      <scheme val="minor"/>
    </font>
    <font>
      <sz val="10"/>
      <color rgb="FF000000"/>
      <name val="Calibri"/>
      <family val="2"/>
      <charset val="1"/>
    </font>
    <font>
      <sz val="8"/>
      <color theme="1"/>
      <name val="Liberation Sans"/>
      <family val="2"/>
    </font>
    <font>
      <sz val="9"/>
      <color theme="1"/>
      <name val="Liberation Sans"/>
      <family val="2"/>
    </font>
    <font>
      <b/>
      <sz val="8"/>
      <color theme="1"/>
      <name val="Liberation Sans"/>
      <family val="2"/>
    </font>
    <font>
      <b/>
      <sz val="9"/>
      <color theme="1"/>
      <name val="Liberation Sans"/>
      <family val="2"/>
    </font>
    <font>
      <sz val="10"/>
      <color theme="1"/>
      <name val="Liberation Sans"/>
      <family val="2"/>
    </font>
    <font>
      <b/>
      <sz val="11"/>
      <color theme="1"/>
      <name val="Liberation Sans"/>
      <family val="2"/>
    </font>
    <font>
      <b/>
      <sz val="10"/>
      <color theme="1"/>
      <name val="Liberation Sans"/>
      <family val="2"/>
    </font>
    <font>
      <b/>
      <sz val="12"/>
      <color theme="1"/>
      <name val="Liberation Sans"/>
      <family val="2"/>
    </font>
    <font>
      <sz val="5"/>
      <color rgb="FF000000"/>
      <name val="Arial"/>
      <family val="2"/>
    </font>
    <font>
      <sz val="10"/>
      <color theme="1"/>
      <name val="Calibri"/>
      <family val="2"/>
      <scheme val="minor"/>
    </font>
    <font>
      <sz val="14"/>
      <color rgb="FF000000"/>
      <name val="Calibri"/>
      <family val="2"/>
      <charset val="1"/>
    </font>
    <font>
      <b/>
      <sz val="10"/>
      <color rgb="FF000000"/>
      <name val="Calibri"/>
      <family val="2"/>
      <charset val="1"/>
    </font>
    <font>
      <b/>
      <sz val="10"/>
      <color rgb="FFE46C0A"/>
      <name val="Calibri"/>
      <family val="2"/>
      <charset val="1"/>
    </font>
    <font>
      <sz val="7"/>
      <color rgb="FF000000"/>
      <name val="Arial"/>
      <family val="2"/>
    </font>
    <font>
      <b/>
      <sz val="9"/>
      <color theme="0"/>
      <name val="Times New Roman"/>
      <family val="1"/>
    </font>
    <font>
      <sz val="9"/>
      <color theme="0"/>
      <name val="Times New Roman"/>
      <family val="1"/>
    </font>
    <font>
      <b/>
      <i/>
      <sz val="11"/>
      <color theme="1"/>
      <name val="Liberation Sans"/>
      <family val="2"/>
    </font>
    <font>
      <sz val="8"/>
      <color theme="0"/>
      <name val="Liberation Sans"/>
      <family val="2"/>
    </font>
    <font>
      <sz val="11"/>
      <color theme="0"/>
      <name val="Liberation Sans"/>
      <family val="2"/>
    </font>
    <font>
      <b/>
      <sz val="12"/>
      <color theme="1"/>
      <name val="Arial"/>
      <family val="2"/>
    </font>
    <font>
      <sz val="12"/>
      <color theme="1"/>
      <name val="Liberation Sans"/>
      <family val="2"/>
    </font>
    <font>
      <b/>
      <sz val="10"/>
      <color theme="0"/>
      <name val="Liberation Sans"/>
      <family val="2"/>
    </font>
    <font>
      <b/>
      <sz val="14"/>
      <name val="Calibri"/>
      <family val="2"/>
      <scheme val="minor"/>
    </font>
    <font>
      <b/>
      <sz val="10"/>
      <color theme="0"/>
      <name val="Arial"/>
      <family val="2"/>
    </font>
    <font>
      <b/>
      <sz val="16"/>
      <color rgb="FF000000"/>
      <name val="Calibri"/>
      <family val="2"/>
      <charset val="1"/>
    </font>
    <font>
      <sz val="10"/>
      <color rgb="FF000000"/>
      <name val="Calibri"/>
      <family val="2"/>
    </font>
    <font>
      <u/>
      <sz val="11"/>
      <color rgb="FF000000"/>
      <name val="Calibri"/>
      <family val="2"/>
      <charset val="1"/>
    </font>
    <font>
      <sz val="10"/>
      <color rgb="FF000000"/>
      <name val="Times New Roman"/>
      <family val="1"/>
      <charset val="1"/>
    </font>
    <font>
      <u/>
      <sz val="10"/>
      <color rgb="FF000000"/>
      <name val="Times New Roman"/>
      <family val="1"/>
      <charset val="1"/>
    </font>
    <font>
      <u/>
      <sz val="11"/>
      <color rgb="FF000000"/>
      <name val="Times New Roman"/>
      <family val="1"/>
      <charset val="1"/>
    </font>
    <font>
      <sz val="11"/>
      <color theme="0" tint="-0.14999847407452621"/>
      <name val="Liberation Sans"/>
      <family val="2"/>
    </font>
    <font>
      <b/>
      <sz val="10"/>
      <color theme="0" tint="-0.14999847407452621"/>
      <name val="Arial"/>
      <family val="2"/>
    </font>
    <font>
      <b/>
      <sz val="11"/>
      <color theme="0" tint="-0.14999847407452621"/>
      <name val="Liberation Sans"/>
      <family val="2"/>
    </font>
    <font>
      <sz val="10"/>
      <color theme="0" tint="-0.14999847407452621"/>
      <name val="Arial"/>
      <family val="2"/>
    </font>
    <font>
      <b/>
      <sz val="11"/>
      <color rgb="FFFFFFFF"/>
      <name val="Calibri"/>
      <family val="2"/>
      <charset val="1"/>
    </font>
    <font>
      <b/>
      <sz val="10"/>
      <color theme="4" tint="-0.249977111117893"/>
      <name val="Calibri"/>
      <family val="2"/>
      <charset val="1"/>
    </font>
    <font>
      <b/>
      <sz val="12"/>
      <color rgb="FF009900"/>
      <name val="Kalinga"/>
      <family val="2"/>
    </font>
    <font>
      <b/>
      <i/>
      <sz val="10"/>
      <color theme="1"/>
      <name val="Kalinga"/>
      <family val="2"/>
    </font>
    <font>
      <b/>
      <sz val="10"/>
      <color theme="1"/>
      <name val="Kalinga"/>
      <family val="2"/>
    </font>
    <font>
      <b/>
      <sz val="10"/>
      <color theme="8" tint="-0.499984740745262"/>
      <name val="Kalinga"/>
      <family val="2"/>
    </font>
    <font>
      <b/>
      <sz val="10"/>
      <color theme="0"/>
      <name val="Kalinga"/>
      <family val="2"/>
    </font>
    <font>
      <sz val="10"/>
      <color theme="1"/>
      <name val="Kalinga"/>
      <family val="2"/>
    </font>
    <font>
      <b/>
      <sz val="11"/>
      <color theme="8" tint="-0.249977111117893"/>
      <name val="Kalinga"/>
      <family val="2"/>
    </font>
    <font>
      <b/>
      <sz val="10"/>
      <color theme="8" tint="-0.249977111117893"/>
      <name val="Kalinga"/>
      <family val="2"/>
    </font>
    <font>
      <sz val="11"/>
      <color theme="8" tint="-0.249977111117893"/>
      <name val="Calibri"/>
      <family val="2"/>
      <scheme val="minor"/>
    </font>
    <font>
      <sz val="10"/>
      <color theme="8" tint="-0.249977111117893"/>
      <name val="Kalinga"/>
      <family val="2"/>
    </font>
    <font>
      <b/>
      <sz val="14"/>
      <color theme="1"/>
      <name val="Liberation Sans"/>
      <family val="2"/>
    </font>
    <font>
      <sz val="11"/>
      <color rgb="FFC00000"/>
      <name val="Liberation Sans"/>
      <family val="2"/>
    </font>
    <font>
      <b/>
      <sz val="11"/>
      <color rgb="FFC00000"/>
      <name val="Liberation Sans"/>
      <family val="2"/>
    </font>
    <font>
      <i/>
      <sz val="10"/>
      <color theme="1"/>
      <name val="Liberation Sans"/>
      <family val="2"/>
    </font>
    <font>
      <b/>
      <i/>
      <sz val="12"/>
      <color theme="4" tint="-0.249977111117893"/>
      <name val="Liberation Sans"/>
      <family val="2"/>
    </font>
    <font>
      <b/>
      <u/>
      <sz val="11"/>
      <color theme="10"/>
      <name val="Liberation Sans"/>
      <family val="2"/>
    </font>
    <font>
      <sz val="10"/>
      <color theme="7" tint="-0.249977111117893"/>
      <name val="Kalinga"/>
      <family val="2"/>
    </font>
    <font>
      <sz val="10"/>
      <color theme="5" tint="-0.499984740745262"/>
      <name val="Kalinga"/>
      <family val="2"/>
    </font>
    <font>
      <sz val="10"/>
      <color theme="9" tint="0.39997558519241921"/>
      <name val="Kalinga"/>
      <family val="2"/>
    </font>
    <font>
      <b/>
      <sz val="12"/>
      <color theme="8" tint="-0.249977111117893"/>
      <name val="Kalinga"/>
      <family val="2"/>
    </font>
    <font>
      <b/>
      <sz val="11"/>
      <color theme="8" tint="-0.249977111117893"/>
      <name val="Liberation Sans"/>
      <family val="2"/>
    </font>
    <font>
      <b/>
      <sz val="12"/>
      <color rgb="FF000000"/>
      <name val="Liberation Sans"/>
      <family val="2"/>
    </font>
    <font>
      <sz val="11"/>
      <color theme="1"/>
      <name val="Calibri"/>
      <family val="2"/>
    </font>
    <font>
      <b/>
      <sz val="11"/>
      <color rgb="FF000000"/>
      <name val="Liberation Sans"/>
      <family val="2"/>
    </font>
    <font>
      <sz val="8"/>
      <color rgb="FF000000"/>
      <name val="Liberation Sans"/>
      <family val="2"/>
    </font>
    <font>
      <sz val="11"/>
      <color rgb="FF000000"/>
      <name val="Liberation Sans"/>
      <family val="2"/>
    </font>
    <font>
      <b/>
      <sz val="8"/>
      <color rgb="FF000000"/>
      <name val="Liberation Sans"/>
      <family val="2"/>
    </font>
    <font>
      <b/>
      <sz val="10"/>
      <color rgb="FFFFFFFF"/>
      <name val="Liberation Sans"/>
      <family val="2"/>
    </font>
    <font>
      <b/>
      <sz val="9"/>
      <color rgb="FF000000"/>
      <name val="Liberation Sans"/>
      <family val="2"/>
    </font>
    <font>
      <sz val="8"/>
      <color rgb="FFFFFFFF"/>
      <name val="Liberation Sans"/>
      <family val="2"/>
    </font>
    <font>
      <sz val="10"/>
      <color theme="1"/>
      <name val="Times New Roman"/>
      <family val="1"/>
    </font>
    <font>
      <sz val="11"/>
      <color theme="2" tint="-9.9978637043366805E-2"/>
      <name val="Liberation Sans"/>
      <family val="2"/>
    </font>
    <font>
      <sz val="10"/>
      <color theme="0" tint="-0.249977111117893"/>
      <name val="Calibri"/>
      <family val="2"/>
      <charset val="1"/>
    </font>
    <font>
      <b/>
      <sz val="14"/>
      <color theme="0"/>
      <name val="Times New Roman"/>
      <family val="1"/>
    </font>
    <font>
      <sz val="9"/>
      <color theme="1"/>
      <name val="Liberation Sans"/>
    </font>
    <font>
      <sz val="10"/>
      <color theme="5" tint="-0.249977111117893"/>
      <name val="Arial"/>
      <family val="2"/>
    </font>
    <font>
      <b/>
      <sz val="12"/>
      <color theme="0"/>
      <name val="Times New Roman"/>
      <family val="1"/>
    </font>
    <font>
      <sz val="14"/>
      <color rgb="FFC00000"/>
      <name val="Inherit"/>
    </font>
    <font>
      <b/>
      <sz val="11"/>
      <color theme="1"/>
      <name val="Liberation Sans"/>
    </font>
    <font>
      <b/>
      <sz val="6"/>
      <color rgb="FF666666"/>
      <name val="Lucida Console"/>
      <family val="3"/>
    </font>
    <font>
      <sz val="6"/>
      <color rgb="FF666666"/>
      <name val="Lucida Console"/>
      <family val="3"/>
    </font>
    <font>
      <b/>
      <sz val="9"/>
      <color theme="1"/>
      <name val="Liberation Sans"/>
    </font>
    <font>
      <u/>
      <sz val="14"/>
      <color rgb="FF0000FF"/>
      <name val="Calibri"/>
      <family val="2"/>
      <charset val="1"/>
    </font>
    <font>
      <b/>
      <sz val="14"/>
      <color rgb="FFFFFFFF"/>
      <name val="Calibri"/>
      <family val="2"/>
      <charset val="1"/>
    </font>
    <font>
      <b/>
      <sz val="14"/>
      <color rgb="FF000000"/>
      <name val="Calibri"/>
      <family val="2"/>
    </font>
    <font>
      <b/>
      <sz val="16"/>
      <name val="Calibri"/>
      <family val="2"/>
      <scheme val="minor"/>
    </font>
    <font>
      <b/>
      <sz val="11"/>
      <color theme="0"/>
      <name val="Liberation Sans"/>
    </font>
    <font>
      <b/>
      <sz val="14"/>
      <color theme="1"/>
      <name val="Calibri"/>
      <family val="2"/>
      <scheme val="minor"/>
    </font>
    <font>
      <b/>
      <sz val="10"/>
      <color theme="0" tint="-0.14999847407452621"/>
      <name val="Liberation Sans"/>
      <family val="2"/>
    </font>
    <font>
      <b/>
      <sz val="12"/>
      <color theme="0"/>
      <name val="Kalinga"/>
      <family val="2"/>
    </font>
    <font>
      <b/>
      <sz val="11"/>
      <color theme="0"/>
      <name val="Kalinga"/>
      <family val="2"/>
    </font>
    <font>
      <b/>
      <sz val="12"/>
      <color theme="0"/>
      <name val="Arial"/>
      <family val="2"/>
    </font>
    <font>
      <b/>
      <sz val="12"/>
      <name val="Times New Roman"/>
      <family val="1"/>
    </font>
    <font>
      <u/>
      <sz val="10"/>
      <color theme="10"/>
      <name val="Arial"/>
      <family val="2"/>
    </font>
    <font>
      <u/>
      <sz val="10"/>
      <color theme="10"/>
      <name val="Times New Roman"/>
      <family val="1"/>
    </font>
    <font>
      <vertAlign val="superscript"/>
      <sz val="9"/>
      <name val="Times New Roman"/>
      <family val="1"/>
    </font>
    <font>
      <b/>
      <i/>
      <sz val="9"/>
      <name val="Times New Roman"/>
      <family val="1"/>
    </font>
    <font>
      <i/>
      <sz val="9"/>
      <name val="Times New Roman"/>
      <family val="1"/>
    </font>
    <font>
      <vertAlign val="subscript"/>
      <sz val="9"/>
      <name val="Times New Roman"/>
      <family val="1"/>
    </font>
    <font>
      <vertAlign val="superscript"/>
      <sz val="10"/>
      <name val="Times New Roman"/>
      <family val="1"/>
    </font>
    <font>
      <b/>
      <vertAlign val="superscript"/>
      <sz val="9"/>
      <name val="Times New Roman"/>
      <family val="1"/>
    </font>
    <font>
      <sz val="9"/>
      <color theme="1"/>
      <name val="Times New Roman"/>
      <family val="1"/>
    </font>
    <font>
      <i/>
      <sz val="9"/>
      <color theme="1"/>
      <name val="Times New Roman"/>
      <family val="1"/>
    </font>
    <font>
      <strike/>
      <sz val="9"/>
      <name val="Times New Roman"/>
      <family val="1"/>
    </font>
    <font>
      <b/>
      <vertAlign val="subscript"/>
      <sz val="12"/>
      <name val="Times New Roman"/>
      <family val="1"/>
    </font>
    <font>
      <b/>
      <sz val="9"/>
      <color indexed="8"/>
      <name val="Times New Roman"/>
      <family val="1"/>
    </font>
    <font>
      <b/>
      <vertAlign val="superscript"/>
      <sz val="9"/>
      <color indexed="8"/>
      <name val="Times New Roman"/>
      <family val="1"/>
    </font>
    <font>
      <vertAlign val="superscript"/>
      <sz val="9"/>
      <color rgb="FF000000"/>
      <name val="Times New Roman"/>
      <family val="1"/>
    </font>
    <font>
      <b/>
      <vertAlign val="subscript"/>
      <sz val="9"/>
      <color indexed="8"/>
      <name val="Times New Roman"/>
      <family val="1"/>
    </font>
    <font>
      <b/>
      <sz val="9"/>
      <color rgb="FFFF0000"/>
      <name val="Times New Roman"/>
      <family val="1"/>
    </font>
    <font>
      <vertAlign val="superscript"/>
      <sz val="9"/>
      <color indexed="8"/>
      <name val="Times New Roman"/>
      <family val="1"/>
    </font>
    <font>
      <b/>
      <sz val="9"/>
      <color indexed="10"/>
      <name val="Times New Roman"/>
      <family val="1"/>
    </font>
    <font>
      <sz val="14"/>
      <name val="Times New Roman"/>
      <family val="1"/>
    </font>
    <font>
      <vertAlign val="superscript"/>
      <sz val="14"/>
      <name val="Times New Roman"/>
      <family val="1"/>
    </font>
    <font>
      <sz val="9"/>
      <color theme="4"/>
      <name val="Arial"/>
      <family val="2"/>
    </font>
    <font>
      <b/>
      <sz val="9"/>
      <color theme="4"/>
      <name val="Arial"/>
      <family val="2"/>
    </font>
    <font>
      <sz val="7"/>
      <name val="Times New Roman"/>
      <family val="1"/>
    </font>
    <font>
      <b/>
      <sz val="7"/>
      <color indexed="8"/>
      <name val="Times New Roman"/>
      <family val="1"/>
    </font>
    <font>
      <b/>
      <sz val="8"/>
      <color indexed="8"/>
      <name val="Times New Roman"/>
      <family val="1"/>
    </font>
    <font>
      <sz val="10"/>
      <color indexed="10"/>
      <name val="Times New Roman"/>
      <family val="1"/>
    </font>
    <font>
      <i/>
      <sz val="9"/>
      <color indexed="8"/>
      <name val="Times New Roman"/>
      <family val="1"/>
    </font>
    <font>
      <b/>
      <vertAlign val="superscript"/>
      <sz val="10"/>
      <name val="Times New Roman"/>
      <family val="1"/>
    </font>
    <font>
      <b/>
      <vertAlign val="subscript"/>
      <sz val="10"/>
      <name val="Times New Roman"/>
      <family val="1"/>
    </font>
    <font>
      <sz val="10"/>
      <color indexed="10"/>
      <name val="Arial"/>
      <family val="2"/>
    </font>
    <font>
      <sz val="7"/>
      <color rgb="FF434343"/>
      <name val="Arial"/>
      <family val="2"/>
    </font>
    <font>
      <sz val="11"/>
      <color rgb="FFFF0000"/>
      <name val="Calibri"/>
      <family val="2"/>
      <scheme val="minor"/>
    </font>
    <font>
      <vertAlign val="subscript"/>
      <sz val="11"/>
      <color theme="1"/>
      <name val="Calibri"/>
      <family val="2"/>
      <scheme val="minor"/>
    </font>
    <font>
      <sz val="11"/>
      <color theme="0" tint="-0.249977111117893"/>
      <name val="Calibri"/>
      <family val="2"/>
      <scheme val="minor"/>
    </font>
    <font>
      <sz val="11"/>
      <name val="Calibri"/>
      <family val="2"/>
      <scheme val="minor"/>
    </font>
    <font>
      <vertAlign val="subscript"/>
      <sz val="11"/>
      <name val="Calibri"/>
      <family val="2"/>
      <scheme val="minor"/>
    </font>
    <font>
      <b/>
      <sz val="10"/>
      <color theme="5" tint="-0.499984740745262"/>
      <name val="Kalinga"/>
      <family val="2"/>
    </font>
    <font>
      <b/>
      <sz val="12"/>
      <color theme="1"/>
      <name val="Kalinga"/>
      <family val="2"/>
    </font>
    <font>
      <sz val="11"/>
      <color theme="1"/>
      <name val="Liberation Sans"/>
    </font>
    <font>
      <sz val="11"/>
      <name val="Liberation Sans"/>
      <family val="2"/>
    </font>
    <font>
      <b/>
      <sz val="11"/>
      <name val="Liberation Sans"/>
    </font>
    <font>
      <b/>
      <sz val="11"/>
      <name val="Liberation Sans"/>
      <family val="2"/>
    </font>
    <font>
      <sz val="11"/>
      <name val="Liberation Sans"/>
    </font>
    <font>
      <sz val="10"/>
      <name val="Liberation Sans"/>
    </font>
    <font>
      <sz val="8"/>
      <color theme="2" tint="-9.9978637043366805E-2"/>
      <name val="Times New Roman"/>
      <family val="1"/>
    </font>
    <font>
      <b/>
      <vertAlign val="superscript"/>
      <sz val="11"/>
      <name val="Times New Roman"/>
      <family val="1"/>
    </font>
    <font>
      <b/>
      <u/>
      <sz val="11"/>
      <color theme="10"/>
      <name val="Liberation Sans"/>
    </font>
    <font>
      <b/>
      <i/>
      <sz val="10"/>
      <color theme="1"/>
      <name val="Liberation Sans"/>
    </font>
    <font>
      <b/>
      <sz val="10"/>
      <name val="Calibri"/>
      <family val="2"/>
    </font>
    <font>
      <i/>
      <sz val="8"/>
      <color rgb="FFFF0000"/>
      <name val="Calibri"/>
      <family val="2"/>
      <scheme val="minor"/>
    </font>
    <font>
      <b/>
      <vertAlign val="subscript"/>
      <sz val="11"/>
      <name val="Times New Roman"/>
      <family val="1"/>
    </font>
    <font>
      <b/>
      <sz val="9"/>
      <name val="Times New Roman"/>
      <family val="1"/>
      <charset val="204"/>
    </font>
    <font>
      <b/>
      <sz val="9"/>
      <color indexed="8"/>
      <name val="Times New Roman"/>
      <family val="1"/>
      <charset val="204"/>
    </font>
    <font>
      <sz val="9"/>
      <color rgb="FFFF0000"/>
      <name val="Times New Roman"/>
      <family val="1"/>
    </font>
    <font>
      <b/>
      <i/>
      <vertAlign val="superscript"/>
      <sz val="9"/>
      <name val="Times New Roman"/>
      <family val="1"/>
    </font>
    <font>
      <b/>
      <strike/>
      <sz val="9"/>
      <name val="Times New Roman"/>
      <family val="1"/>
    </font>
    <font>
      <b/>
      <sz val="9"/>
      <color theme="1"/>
      <name val="Times New Roman"/>
      <family val="1"/>
    </font>
    <font>
      <vertAlign val="superscript"/>
      <sz val="10"/>
      <color theme="1"/>
      <name val="Times New Roman"/>
      <family val="1"/>
    </font>
    <font>
      <sz val="11"/>
      <name val="Times New Roman"/>
      <family val="1"/>
    </font>
    <font>
      <b/>
      <sz val="11"/>
      <name val="Times New Roman"/>
      <family val="1"/>
    </font>
    <font>
      <sz val="11"/>
      <color indexed="8"/>
      <name val="Times New Roman"/>
      <family val="1"/>
    </font>
    <font>
      <b/>
      <sz val="10"/>
      <color rgb="FFFF0000"/>
      <name val="Times New Roman"/>
      <family val="1"/>
    </font>
    <font>
      <sz val="11"/>
      <color rgb="FFFF0000"/>
      <name val="Liberation Sans"/>
      <family val="2"/>
    </font>
  </fonts>
  <fills count="5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rgb="FFA5A5A5"/>
      </patternFill>
    </fill>
    <fill>
      <patternFill patternType="solid">
        <fgColor theme="6"/>
      </patternFill>
    </fill>
    <fill>
      <patternFill patternType="solid">
        <fgColor rgb="FFFFFFFF"/>
        <bgColor rgb="FFFFFFCC"/>
      </patternFill>
    </fill>
    <fill>
      <patternFill patternType="solid">
        <fgColor theme="4" tint="-0.49998474074526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D9D9D9"/>
        <bgColor rgb="FFD7E4BD"/>
      </patternFill>
    </fill>
    <fill>
      <patternFill patternType="solid">
        <fgColor theme="0" tint="-0.14999847407452621"/>
        <bgColor rgb="FFB3B3B3"/>
      </patternFill>
    </fill>
    <fill>
      <patternFill patternType="solid">
        <fgColor theme="3" tint="0.79998168889431442"/>
        <bgColor rgb="FFFFFFCC"/>
      </patternFill>
    </fill>
    <fill>
      <patternFill patternType="solid">
        <fgColor theme="0" tint="-0.14999847407452621"/>
        <bgColor rgb="FF77933C"/>
      </patternFill>
    </fill>
    <fill>
      <patternFill patternType="solid">
        <fgColor theme="3" tint="0.3999755851924192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9"/>
      </patternFill>
    </fill>
    <fill>
      <patternFill patternType="solid">
        <fgColor theme="2" tint="-9.9978637043366805E-2"/>
        <bgColor indexed="39"/>
      </patternFill>
    </fill>
    <fill>
      <patternFill patternType="solid">
        <fgColor theme="0"/>
        <bgColor indexed="64"/>
      </patternFill>
    </fill>
    <fill>
      <patternFill patternType="solid">
        <fgColor theme="3" tint="0.79998168889431442"/>
        <bgColor rgb="FF808080"/>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tint="-0.749992370372631"/>
        <bgColor indexed="64"/>
      </patternFill>
    </fill>
    <fill>
      <patternFill patternType="solid">
        <fgColor theme="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8F9FA"/>
        <bgColor indexed="64"/>
      </patternFill>
    </fill>
    <fill>
      <patternFill patternType="solid">
        <fgColor theme="0" tint="-0.249977111117893"/>
        <bgColor indexed="64"/>
      </patternFill>
    </fill>
    <fill>
      <patternFill patternType="solid">
        <fgColor theme="5" tint="0.79998168889431442"/>
        <bgColor rgb="FFB3B3B3"/>
      </patternFill>
    </fill>
    <fill>
      <patternFill patternType="solid">
        <fgColor theme="3" tint="0.79998168889431442"/>
        <bgColor rgb="FF93CDDD"/>
      </patternFill>
    </fill>
    <fill>
      <patternFill patternType="solid">
        <fgColor theme="6" tint="-0.499984740745262"/>
        <bgColor rgb="FF663300"/>
      </patternFill>
    </fill>
    <fill>
      <patternFill patternType="solid">
        <fgColor theme="1" tint="0.34998626667073579"/>
        <bgColor rgb="FF948A54"/>
      </patternFill>
    </fill>
    <fill>
      <patternFill patternType="solid">
        <fgColor theme="1" tint="0.34998626667073579"/>
        <bgColor rgb="FF6C6C6D"/>
      </patternFill>
    </fill>
    <fill>
      <patternFill patternType="solid">
        <fgColor rgb="FF002060"/>
        <bgColor indexed="64"/>
      </patternFill>
    </fill>
    <fill>
      <patternFill patternType="solid">
        <fgColor indexed="42"/>
        <bgColor indexed="64"/>
      </patternFill>
    </fill>
    <fill>
      <patternFill patternType="solid">
        <fgColor indexed="55"/>
        <bgColor indexed="64"/>
      </patternFill>
    </fill>
    <fill>
      <patternFill patternType="solid">
        <fgColor rgb="FF969696"/>
        <bgColor indexed="64"/>
      </patternFill>
    </fill>
    <fill>
      <patternFill patternType="solid">
        <fgColor indexed="55"/>
        <bgColor theme="0" tint="-0.24994659260841701"/>
      </patternFill>
    </fill>
    <fill>
      <patternFill patternType="solid">
        <fgColor indexed="42"/>
        <bgColor theme="0" tint="-0.24994659260841701"/>
      </patternFill>
    </fill>
    <fill>
      <patternFill patternType="solid">
        <fgColor indexed="47"/>
        <bgColor indexed="64"/>
      </patternFill>
    </fill>
    <fill>
      <patternFill patternType="solid">
        <fgColor indexed="65"/>
        <bgColor theme="0" tint="-0.24994659260841701"/>
      </patternFill>
    </fill>
    <fill>
      <patternFill patternType="solid">
        <fgColor indexed="47"/>
        <bgColor theme="0" tint="-0.24994659260841701"/>
      </patternFill>
    </fill>
    <fill>
      <patternFill patternType="solid">
        <fgColor theme="0"/>
        <bgColor theme="0" tint="-0.24994659260841701"/>
      </patternFill>
    </fill>
    <fill>
      <patternFill patternType="solid">
        <fgColor rgb="FFFFCC99"/>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indexed="27"/>
        <bgColor indexed="64"/>
      </patternFill>
    </fill>
    <fill>
      <patternFill patternType="solid">
        <fgColor indexed="41"/>
        <bgColor indexed="64"/>
      </patternFill>
    </fill>
  </fills>
  <borders count="1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style="double">
        <color indexed="64"/>
      </bottom>
      <diagonal/>
    </border>
    <border>
      <left/>
      <right style="medium">
        <color indexed="64"/>
      </right>
      <top/>
      <bottom style="medium">
        <color indexed="8"/>
      </bottom>
      <diagonal/>
    </border>
    <border>
      <left/>
      <right style="medium">
        <color indexed="64"/>
      </right>
      <top/>
      <bottom/>
      <diagonal/>
    </border>
    <border>
      <left style="medium">
        <color indexed="64"/>
      </left>
      <right style="medium">
        <color indexed="64"/>
      </right>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double">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8"/>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8"/>
      </top>
      <bottom/>
      <diagonal/>
    </border>
    <border>
      <left/>
      <right/>
      <top style="medium">
        <color indexed="64"/>
      </top>
      <bottom style="double">
        <color indexed="64"/>
      </bottom>
      <diagonal/>
    </border>
    <border>
      <left style="medium">
        <color indexed="8"/>
      </left>
      <right/>
      <top style="medium">
        <color indexed="64"/>
      </top>
      <bottom style="medium">
        <color indexed="64"/>
      </bottom>
      <diagonal/>
    </border>
    <border>
      <left style="medium">
        <color indexed="64"/>
      </left>
      <right style="medium">
        <color indexed="64"/>
      </right>
      <top/>
      <bottom style="medium">
        <color indexed="8"/>
      </bottom>
      <diagonal/>
    </border>
    <border>
      <left/>
      <right style="medium">
        <color indexed="8"/>
      </right>
      <top/>
      <bottom style="medium">
        <color indexed="64"/>
      </bottom>
      <diagonal/>
    </border>
    <border>
      <left style="medium">
        <color indexed="8"/>
      </left>
      <right/>
      <top style="medium">
        <color indexed="64"/>
      </top>
      <bottom style="double">
        <color indexed="64"/>
      </bottom>
      <diagonal/>
    </border>
    <border>
      <left/>
      <right style="medium">
        <color indexed="8"/>
      </right>
      <top style="medium">
        <color indexed="64"/>
      </top>
      <bottom style="double">
        <color indexed="64"/>
      </bottom>
      <diagonal/>
    </border>
    <border>
      <left style="medium">
        <color indexed="8"/>
      </left>
      <right/>
      <top style="medium">
        <color indexed="64"/>
      </top>
      <bottom/>
      <diagonal/>
    </border>
    <border>
      <left/>
      <right style="medium">
        <color indexed="8"/>
      </right>
      <top style="medium">
        <color indexed="64"/>
      </top>
      <bottom/>
      <diagonal/>
    </border>
    <border>
      <left style="medium">
        <color indexed="8"/>
      </left>
      <right/>
      <top/>
      <bottom style="medium">
        <color indexed="64"/>
      </bottom>
      <diagonal/>
    </border>
    <border>
      <left style="medium">
        <color indexed="8"/>
      </left>
      <right style="medium">
        <color indexed="64"/>
      </right>
      <top style="medium">
        <color indexed="64"/>
      </top>
      <bottom/>
      <diagonal/>
    </border>
    <border>
      <left style="medium">
        <color indexed="8"/>
      </left>
      <right style="medium">
        <color indexed="64"/>
      </right>
      <top/>
      <bottom style="medium">
        <color indexed="64"/>
      </bottom>
      <diagonal/>
    </border>
    <border>
      <left/>
      <right style="medium">
        <color indexed="8"/>
      </right>
      <top/>
      <bottom/>
      <diagonal/>
    </border>
    <border>
      <left/>
      <right style="medium">
        <color indexed="8"/>
      </right>
      <top/>
      <bottom style="double">
        <color indexed="64"/>
      </bottom>
      <diagonal/>
    </border>
    <border>
      <left style="medium">
        <color indexed="64"/>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rgb="FF3F3F3F"/>
      </left>
      <right style="double">
        <color rgb="FF3F3F3F"/>
      </right>
      <top style="double">
        <color rgb="FF3F3F3F"/>
      </top>
      <bottom style="double">
        <color rgb="FF3F3F3F"/>
      </bottom>
      <diagonal/>
    </border>
    <border>
      <left style="thin">
        <color theme="8" tint="-0.249977111117893"/>
      </left>
      <right/>
      <top style="thin">
        <color theme="8" tint="-0.249977111117893"/>
      </top>
      <bottom/>
      <diagonal/>
    </border>
    <border>
      <left/>
      <right/>
      <top style="thin">
        <color theme="8" tint="-0.249977111117893"/>
      </top>
      <bottom/>
      <diagonal/>
    </border>
    <border>
      <left/>
      <right style="thin">
        <color theme="8" tint="-0.249977111117893"/>
      </right>
      <top style="thin">
        <color theme="8" tint="-0.249977111117893"/>
      </top>
      <bottom/>
      <diagonal/>
    </border>
    <border>
      <left style="thin">
        <color theme="8" tint="-0.249977111117893"/>
      </left>
      <right/>
      <top/>
      <bottom style="thin">
        <color theme="8" tint="-0.249977111117893"/>
      </bottom>
      <diagonal/>
    </border>
    <border>
      <left/>
      <right style="thin">
        <color theme="8" tint="-0.249977111117893"/>
      </right>
      <top/>
      <bottom style="thin">
        <color theme="8" tint="-0.249977111117893"/>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thin">
        <color theme="8" tint="-0.249977111117893"/>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right style="thin">
        <color theme="8" tint="-0.249977111117893"/>
      </right>
      <top/>
      <bottom/>
      <diagonal/>
    </border>
    <border>
      <left/>
      <right/>
      <top/>
      <bottom style="thin">
        <color theme="4" tint="0.39997558519241921"/>
      </bottom>
      <diagonal/>
    </border>
    <border>
      <left/>
      <right/>
      <top/>
      <bottom style="medium">
        <color rgb="FFDDDDDD"/>
      </bottom>
      <diagonal/>
    </border>
    <border>
      <left style="medium">
        <color rgb="FFDDDDDD"/>
      </left>
      <right/>
      <top/>
      <bottom style="medium">
        <color rgb="FFDDDDDD"/>
      </bottom>
      <diagonal/>
    </border>
    <border>
      <left style="medium">
        <color rgb="FFDDDDDD"/>
      </left>
      <right/>
      <top/>
      <bottom/>
      <diagonal/>
    </border>
    <border>
      <left/>
      <right/>
      <top style="medium">
        <color rgb="FFDDDDDD"/>
      </top>
      <bottom/>
      <diagonal/>
    </border>
    <border>
      <left style="medium">
        <color rgb="FFDDDDDD"/>
      </left>
      <right/>
      <top style="medium">
        <color rgb="FFDDDDDD"/>
      </top>
      <bottom/>
      <diagonal/>
    </border>
    <border>
      <left/>
      <right/>
      <top style="medium">
        <color rgb="FFDDDDDD"/>
      </top>
      <bottom style="medium">
        <color rgb="FFDDDDDD"/>
      </bottom>
      <diagonal/>
    </border>
    <border>
      <left style="medium">
        <color rgb="FFDDDDDD"/>
      </left>
      <right/>
      <top style="medium">
        <color rgb="FFDDDDDD"/>
      </top>
      <bottom style="medium">
        <color rgb="FFDDDDDD"/>
      </bottom>
      <diagonal/>
    </border>
    <border>
      <left/>
      <right style="double">
        <color rgb="FF3F3F3F"/>
      </right>
      <top style="double">
        <color rgb="FF3F3F3F"/>
      </top>
      <bottom style="double">
        <color rgb="FF3F3F3F"/>
      </bottom>
      <diagonal/>
    </border>
    <border>
      <left/>
      <right/>
      <top style="double">
        <color rgb="FF3F3F3F"/>
      </top>
      <bottom style="double">
        <color rgb="FF3F3F3F"/>
      </bottom>
      <diagonal/>
    </border>
    <border>
      <left/>
      <right/>
      <top style="double">
        <color rgb="FF3F3F3F"/>
      </top>
      <bottom/>
      <diagonal/>
    </border>
    <border>
      <left/>
      <right style="thin">
        <color indexed="64"/>
      </right>
      <top style="double">
        <color rgb="FF3F3F3F"/>
      </top>
      <bottom/>
      <diagonal/>
    </border>
    <border>
      <left style="thin">
        <color indexed="64"/>
      </left>
      <right/>
      <top/>
      <bottom style="double">
        <color rgb="FF3F3F3F"/>
      </bottom>
      <diagonal/>
    </border>
    <border>
      <left/>
      <right style="thin">
        <color indexed="64"/>
      </right>
      <top/>
      <bottom style="double">
        <color rgb="FF3F3F3F"/>
      </bottom>
      <diagonal/>
    </border>
    <border>
      <left style="thin">
        <color theme="8" tint="-0.249977111117893"/>
      </left>
      <right/>
      <top/>
      <bottom/>
      <diagonal/>
    </border>
    <border>
      <left/>
      <right/>
      <top/>
      <bottom style="thin">
        <color theme="8" tint="-0.249977111117893"/>
      </bottom>
      <diagonal/>
    </border>
    <border>
      <left/>
      <right/>
      <top/>
      <bottom style="double">
        <color indexed="64"/>
      </bottom>
      <diagonal/>
    </border>
    <border>
      <left style="medium">
        <color indexed="64"/>
      </left>
      <right style="medium">
        <color indexed="64"/>
      </right>
      <top style="thin">
        <color indexed="64"/>
      </top>
      <bottom style="double">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style="thin">
        <color indexed="64"/>
      </left>
      <right style="medium">
        <color indexed="64"/>
      </right>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style="medium">
        <color indexed="64"/>
      </right>
      <top/>
      <bottom style="medium">
        <color indexed="64"/>
      </bottom>
      <diagonal/>
    </border>
    <border>
      <left style="thin">
        <color indexed="64"/>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medium">
        <color indexed="64"/>
      </right>
      <top style="double">
        <color indexed="64"/>
      </top>
      <bottom style="thin">
        <color indexed="64"/>
      </bottom>
      <diagonal/>
    </border>
    <border>
      <left/>
      <right style="thin">
        <color indexed="64"/>
      </right>
      <top style="medium">
        <color indexed="64"/>
      </top>
      <bottom style="medium">
        <color indexed="64"/>
      </bottom>
      <diagonal/>
    </border>
    <border>
      <left style="thin">
        <color theme="8" tint="-0.249977111117893"/>
      </left>
      <right style="thin">
        <color theme="8" tint="-0.249977111117893"/>
      </right>
      <top style="thin">
        <color theme="8" tint="-0.249977111117893"/>
      </top>
      <bottom/>
      <diagonal/>
    </border>
    <border>
      <left style="medium">
        <color indexed="64"/>
      </left>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top style="thin">
        <color indexed="64"/>
      </top>
      <bottom/>
      <diagonal/>
    </border>
    <border>
      <left style="thin">
        <color indexed="64"/>
      </left>
      <right/>
      <top style="double">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style="medium">
        <color indexed="64"/>
      </bottom>
      <diagonal/>
    </border>
    <border>
      <left/>
      <right style="medium">
        <color indexed="64"/>
      </right>
      <top style="double">
        <color indexed="64"/>
      </top>
      <bottom/>
      <diagonal/>
    </border>
    <border>
      <left/>
      <right style="medium">
        <color indexed="64"/>
      </right>
      <top style="medium">
        <color indexed="8"/>
      </top>
      <bottom/>
      <diagonal/>
    </border>
  </borders>
  <cellStyleXfs count="55">
    <xf numFmtId="0" fontId="0" fillId="0" borderId="0"/>
    <xf numFmtId="0" fontId="65" fillId="5" borderId="94" applyNumberFormat="0" applyAlignment="0" applyProtection="0"/>
    <xf numFmtId="164" fontId="20" fillId="0" borderId="0" applyFont="0" applyFill="0" applyBorder="0" applyAlignment="0" applyProtection="0"/>
    <xf numFmtId="0" fontId="64" fillId="6" borderId="0" applyNumberFormat="0" applyBorder="0" applyAlignment="0" applyProtection="0"/>
    <xf numFmtId="167" fontId="66" fillId="0" borderId="0"/>
    <xf numFmtId="0" fontId="67" fillId="0" borderId="0">
      <alignment horizontal="center"/>
    </xf>
    <xf numFmtId="0" fontId="67" fillId="0" borderId="0">
      <alignment horizontal="center" textRotation="90"/>
    </xf>
    <xf numFmtId="0" fontId="68" fillId="0" borderId="0" applyNumberFormat="0" applyFill="0" applyBorder="0" applyAlignment="0" applyProtection="0"/>
    <xf numFmtId="0" fontId="69" fillId="0" borderId="0" applyNumberFormat="0" applyFill="0" applyBorder="0" applyAlignment="0" applyProtection="0"/>
    <xf numFmtId="165" fontId="63" fillId="0" borderId="0" applyFont="0" applyFill="0" applyBorder="0" applyAlignment="0" applyProtection="0"/>
    <xf numFmtId="43" fontId="63" fillId="0" borderId="0" applyFont="0" applyFill="0" applyBorder="0" applyAlignment="0" applyProtection="0"/>
    <xf numFmtId="0" fontId="62" fillId="0" borderId="0"/>
    <xf numFmtId="0" fontId="18" fillId="0" borderId="0"/>
    <xf numFmtId="0" fontId="18" fillId="0" borderId="0"/>
    <xf numFmtId="0" fontId="40" fillId="0" borderId="0"/>
    <xf numFmtId="0" fontId="18" fillId="0" borderId="0"/>
    <xf numFmtId="0" fontId="14" fillId="0" borderId="0"/>
    <xf numFmtId="9" fontId="63" fillId="0" borderId="0" applyFont="0" applyFill="0" applyBorder="0" applyAlignment="0" applyProtection="0"/>
    <xf numFmtId="0" fontId="70" fillId="0" borderId="0"/>
    <xf numFmtId="0" fontId="70" fillId="0" borderId="0"/>
    <xf numFmtId="0" fontId="18" fillId="0" borderId="0"/>
    <xf numFmtId="0" fontId="161" fillId="0" borderId="0" applyNumberFormat="0" applyFill="0" applyBorder="0" applyAlignment="0" applyProtection="0"/>
    <xf numFmtId="0" fontId="45" fillId="0" borderId="0" applyNumberFormat="0">
      <alignment horizontal="right"/>
    </xf>
    <xf numFmtId="0" fontId="162" fillId="0" borderId="0" applyNumberFormat="0" applyFill="0" applyBorder="0" applyAlignment="0" applyProtection="0"/>
    <xf numFmtId="0" fontId="14" fillId="0" borderId="0"/>
    <xf numFmtId="0" fontId="13" fillId="0" borderId="0" applyNumberFormat="0" applyFill="0" applyBorder="0" applyProtection="0">
      <alignment horizontal="left" vertical="center"/>
    </xf>
    <xf numFmtId="0" fontId="18" fillId="42" borderId="0" applyNumberFormat="0" applyFont="0" applyBorder="0" applyAlignment="0" applyProtection="0"/>
    <xf numFmtId="0" fontId="14" fillId="42" borderId="5"/>
    <xf numFmtId="0" fontId="18" fillId="0" borderId="0" applyNumberFormat="0" applyFont="0" applyFill="0" applyBorder="0" applyProtection="0">
      <alignment horizontal="left" vertical="center" indent="2"/>
    </xf>
    <xf numFmtId="0" fontId="18" fillId="0" borderId="0" applyNumberFormat="0" applyFont="0" applyFill="0" applyBorder="0" applyProtection="0">
      <alignment horizontal="left" vertical="center" indent="5"/>
    </xf>
    <xf numFmtId="0" fontId="14" fillId="42" borderId="1"/>
    <xf numFmtId="0" fontId="14" fillId="0" borderId="1">
      <alignment horizontal="right" vertical="center"/>
    </xf>
    <xf numFmtId="0" fontId="14" fillId="0" borderId="5">
      <alignment horizontal="right" vertical="center"/>
    </xf>
    <xf numFmtId="0" fontId="18" fillId="0" borderId="38"/>
    <xf numFmtId="0" fontId="45" fillId="0" borderId="60">
      <alignment horizontal="left" vertical="top" wrapText="1"/>
    </xf>
    <xf numFmtId="0" fontId="45" fillId="46" borderId="1">
      <alignment horizontal="right" vertical="center"/>
    </xf>
    <xf numFmtId="0" fontId="45" fillId="46" borderId="5">
      <alignment horizontal="right" vertical="center"/>
    </xf>
    <xf numFmtId="0" fontId="14" fillId="0" borderId="0" applyBorder="0">
      <alignment horizontal="right" vertical="center"/>
    </xf>
    <xf numFmtId="0" fontId="14" fillId="42" borderId="19"/>
    <xf numFmtId="0" fontId="14" fillId="42" borderId="20"/>
    <xf numFmtId="4" fontId="14" fillId="0" borderId="0"/>
    <xf numFmtId="4" fontId="14" fillId="0" borderId="5">
      <alignment horizontal="right" vertical="center"/>
    </xf>
    <xf numFmtId="0" fontId="14" fillId="0" borderId="64">
      <alignment horizontal="left" vertical="center" wrapText="1" indent="2"/>
    </xf>
    <xf numFmtId="0" fontId="38" fillId="0" borderId="0"/>
    <xf numFmtId="0" fontId="45" fillId="46" borderId="59">
      <alignment horizontal="left" vertical="center"/>
    </xf>
    <xf numFmtId="0" fontId="5" fillId="0" borderId="0"/>
    <xf numFmtId="0" fontId="3" fillId="0" borderId="0"/>
    <xf numFmtId="165" fontId="3" fillId="0" borderId="0" applyFont="0" applyFill="0" applyBorder="0" applyAlignment="0" applyProtection="0"/>
    <xf numFmtId="0" fontId="2" fillId="0" borderId="0"/>
    <xf numFmtId="0" fontId="14" fillId="0" borderId="0"/>
    <xf numFmtId="0" fontId="13" fillId="53" borderId="19">
      <alignment horizontal="right" vertical="center"/>
    </xf>
    <xf numFmtId="0" fontId="14" fillId="53" borderId="1">
      <alignment horizontal="right" vertical="center"/>
    </xf>
    <xf numFmtId="0" fontId="14" fillId="53" borderId="0" applyBorder="0">
      <alignment horizontal="right" vertical="center"/>
    </xf>
    <xf numFmtId="0" fontId="18" fillId="0" borderId="21"/>
    <xf numFmtId="0" fontId="18" fillId="0" borderId="37"/>
  </cellStyleXfs>
  <cellXfs count="2875">
    <xf numFmtId="0" fontId="0" fillId="0" borderId="0" xfId="0"/>
    <xf numFmtId="4" fontId="14" fillId="0" borderId="1" xfId="0" applyNumberFormat="1" applyFont="1" applyBorder="1" applyAlignment="1" applyProtection="1">
      <alignment horizontal="right" vertical="center"/>
      <protection locked="0"/>
    </xf>
    <xf numFmtId="4" fontId="13" fillId="0" borderId="1" xfId="0" applyNumberFormat="1" applyFont="1" applyBorder="1" applyAlignment="1" applyProtection="1">
      <alignment horizontal="right" vertical="center"/>
      <protection locked="0"/>
    </xf>
    <xf numFmtId="4" fontId="14" fillId="0" borderId="1" xfId="0" applyNumberFormat="1" applyFont="1" applyBorder="1" applyAlignment="1">
      <alignment horizontal="right" vertical="center"/>
    </xf>
    <xf numFmtId="4" fontId="13" fillId="0" borderId="1" xfId="0" applyNumberFormat="1" applyFont="1" applyBorder="1" applyAlignment="1">
      <alignment horizontal="right" vertical="center"/>
    </xf>
    <xf numFmtId="4" fontId="10" fillId="7" borderId="2" xfId="0" applyNumberFormat="1" applyFont="1" applyFill="1" applyBorder="1" applyAlignment="1">
      <alignment horizontal="left" vertical="center"/>
    </xf>
    <xf numFmtId="0" fontId="15" fillId="7" borderId="2" xfId="0" applyFont="1" applyFill="1" applyBorder="1" applyAlignment="1">
      <alignment horizontal="left" vertical="center"/>
    </xf>
    <xf numFmtId="0" fontId="72" fillId="0" borderId="0" xfId="0" applyFont="1"/>
    <xf numFmtId="4" fontId="13" fillId="0" borderId="3" xfId="0" applyNumberFormat="1" applyFont="1" applyBorder="1" applyAlignment="1">
      <alignment horizontal="right" vertical="center"/>
    </xf>
    <xf numFmtId="0" fontId="18" fillId="2" borderId="1" xfId="15" applyFill="1" applyBorder="1" applyAlignment="1">
      <alignment vertical="center"/>
    </xf>
    <xf numFmtId="0" fontId="18" fillId="2" borderId="1" xfId="15" applyFill="1" applyBorder="1" applyAlignment="1">
      <alignment wrapText="1"/>
    </xf>
    <xf numFmtId="2" fontId="18" fillId="2" borderId="1" xfId="15" applyNumberFormat="1" applyFill="1" applyBorder="1" applyAlignment="1">
      <alignment vertical="center"/>
    </xf>
    <xf numFmtId="172" fontId="18" fillId="3" borderId="1" xfId="2" applyNumberFormat="1" applyFont="1" applyFill="1" applyBorder="1"/>
    <xf numFmtId="172" fontId="18" fillId="3" borderId="1" xfId="2" applyNumberFormat="1" applyFont="1" applyFill="1" applyBorder="1" applyAlignment="1">
      <alignment horizontal="center" wrapText="1"/>
    </xf>
    <xf numFmtId="172" fontId="18" fillId="0" borderId="0" xfId="2" applyNumberFormat="1" applyFont="1" applyFill="1" applyBorder="1"/>
    <xf numFmtId="0" fontId="18" fillId="2" borderId="4" xfId="15" applyFill="1" applyBorder="1" applyAlignment="1">
      <alignment horizontal="center"/>
    </xf>
    <xf numFmtId="0" fontId="23" fillId="4" borderId="6" xfId="0" applyFont="1" applyFill="1" applyBorder="1" applyAlignment="1">
      <alignment horizontal="right" wrapText="1" indent="1"/>
    </xf>
    <xf numFmtId="0" fontId="25" fillId="0" borderId="7" xfId="0" applyFont="1" applyBorder="1" applyAlignment="1">
      <alignment horizontal="center" vertical="top" wrapText="1"/>
    </xf>
    <xf numFmtId="0" fontId="25" fillId="0" borderId="7" xfId="0" applyFont="1" applyBorder="1" applyAlignment="1">
      <alignment horizontal="center" vertical="center" wrapText="1"/>
    </xf>
    <xf numFmtId="0" fontId="23" fillId="0" borderId="8" xfId="0" applyFont="1" applyBorder="1" applyAlignment="1">
      <alignment horizontal="center" wrapText="1"/>
    </xf>
    <xf numFmtId="0" fontId="25" fillId="0" borderId="7" xfId="0" applyFont="1" applyBorder="1" applyAlignment="1">
      <alignment horizontal="center" wrapText="1"/>
    </xf>
    <xf numFmtId="0" fontId="25" fillId="0" borderId="7" xfId="0" applyFont="1" applyBorder="1" applyAlignment="1">
      <alignment wrapText="1"/>
    </xf>
    <xf numFmtId="0" fontId="25" fillId="0" borderId="7" xfId="0" applyFont="1" applyBorder="1" applyAlignment="1">
      <alignment horizontal="right" wrapText="1"/>
    </xf>
    <xf numFmtId="0" fontId="23" fillId="4" borderId="6" xfId="0" applyFont="1" applyFill="1" applyBorder="1" applyAlignment="1">
      <alignment horizontal="center"/>
    </xf>
    <xf numFmtId="0" fontId="25" fillId="4" borderId="7" xfId="0" applyFont="1" applyFill="1" applyBorder="1"/>
    <xf numFmtId="3" fontId="23" fillId="0" borderId="7" xfId="0" applyNumberFormat="1" applyFont="1" applyBorder="1" applyAlignment="1">
      <alignment horizontal="right" wrapText="1"/>
    </xf>
    <xf numFmtId="0" fontId="23" fillId="4" borderId="9" xfId="0" applyFont="1" applyFill="1" applyBorder="1" applyAlignment="1">
      <alignment horizontal="center" wrapText="1"/>
    </xf>
    <xf numFmtId="0" fontId="25" fillId="0" borderId="10" xfId="0" applyFont="1" applyBorder="1" applyAlignment="1">
      <alignment horizontal="center" vertical="center" wrapText="1"/>
    </xf>
    <xf numFmtId="0" fontId="25" fillId="0" borderId="10" xfId="0" applyFont="1" applyBorder="1" applyAlignment="1">
      <alignment horizontal="center" wrapText="1"/>
    </xf>
    <xf numFmtId="0" fontId="23" fillId="0" borderId="11" xfId="0" applyFont="1" applyBorder="1" applyAlignment="1">
      <alignment horizontal="center" wrapText="1"/>
    </xf>
    <xf numFmtId="0" fontId="25" fillId="4" borderId="7" xfId="0" applyFont="1" applyFill="1" applyBorder="1" applyAlignment="1">
      <alignment wrapText="1"/>
    </xf>
    <xf numFmtId="0" fontId="29" fillId="0" borderId="0" xfId="0" applyFont="1" applyAlignment="1">
      <alignment wrapText="1"/>
    </xf>
    <xf numFmtId="0" fontId="25" fillId="0" borderId="12" xfId="0" applyFont="1" applyBorder="1" applyAlignment="1">
      <alignment wrapText="1"/>
    </xf>
    <xf numFmtId="0" fontId="25" fillId="0" borderId="13" xfId="0" applyFont="1" applyBorder="1" applyAlignment="1">
      <alignment wrapText="1"/>
    </xf>
    <xf numFmtId="0" fontId="20" fillId="0" borderId="7" xfId="0" applyFont="1" applyBorder="1" applyAlignment="1">
      <alignment horizontal="center" vertical="top" wrapText="1"/>
    </xf>
    <xf numFmtId="0" fontId="20" fillId="0" borderId="7" xfId="0" applyFont="1" applyBorder="1" applyAlignment="1">
      <alignment horizontal="center" vertical="center" wrapText="1"/>
    </xf>
    <xf numFmtId="0" fontId="20" fillId="0" borderId="6" xfId="0" applyFont="1" applyBorder="1" applyAlignment="1">
      <alignment horizontal="center" vertical="center" wrapText="1"/>
    </xf>
    <xf numFmtId="0" fontId="30" fillId="0" borderId="8" xfId="0" applyFont="1" applyBorder="1" applyAlignment="1">
      <alignment horizontal="center" wrapText="1"/>
    </xf>
    <xf numFmtId="0" fontId="20" fillId="0" borderId="7" xfId="0" applyFont="1" applyBorder="1" applyAlignment="1">
      <alignment horizontal="right" wrapText="1"/>
    </xf>
    <xf numFmtId="0" fontId="20" fillId="0" borderId="7" xfId="0" applyFont="1" applyBorder="1" applyAlignment="1">
      <alignment horizontal="center" wrapText="1"/>
    </xf>
    <xf numFmtId="0" fontId="20" fillId="4" borderId="7" xfId="0" applyFont="1" applyFill="1" applyBorder="1"/>
    <xf numFmtId="0" fontId="73" fillId="0" borderId="0" xfId="0" applyFont="1"/>
    <xf numFmtId="0" fontId="25" fillId="0" borderId="6" xfId="0" applyFont="1" applyBorder="1" applyAlignment="1">
      <alignment vertical="center" wrapText="1"/>
    </xf>
    <xf numFmtId="0" fontId="25" fillId="0" borderId="6" xfId="0" applyFont="1" applyBorder="1" applyAlignment="1">
      <alignment horizontal="center" vertical="center" wrapText="1"/>
    </xf>
    <xf numFmtId="0" fontId="30" fillId="0" borderId="8" xfId="0" applyFont="1" applyBorder="1" applyAlignment="1">
      <alignment horizontal="center"/>
    </xf>
    <xf numFmtId="0" fontId="20" fillId="0" borderId="7" xfId="0" applyFont="1" applyBorder="1" applyAlignment="1">
      <alignment vertical="center" wrapText="1"/>
    </xf>
    <xf numFmtId="0" fontId="20" fillId="4" borderId="7" xfId="0" applyFont="1" applyFill="1" applyBorder="1" applyAlignment="1">
      <alignment vertical="center" wrapText="1"/>
    </xf>
    <xf numFmtId="0" fontId="20" fillId="4" borderId="7" xfId="0" applyFont="1" applyFill="1" applyBorder="1" applyAlignment="1">
      <alignment horizontal="center" wrapText="1"/>
    </xf>
    <xf numFmtId="0" fontId="20" fillId="4" borderId="14" xfId="0" applyFont="1" applyFill="1" applyBorder="1" applyAlignment="1">
      <alignment horizontal="center" wrapText="1"/>
    </xf>
    <xf numFmtId="1" fontId="20" fillId="0" borderId="7" xfId="0" applyNumberFormat="1" applyFont="1" applyBorder="1" applyAlignment="1">
      <alignment horizontal="center" wrapText="1"/>
    </xf>
    <xf numFmtId="0" fontId="20" fillId="0" borderId="10" xfId="0" applyFont="1" applyBorder="1" applyAlignment="1">
      <alignment horizontal="center" wrapText="1"/>
    </xf>
    <xf numFmtId="0" fontId="20" fillId="0" borderId="7" xfId="0" applyFont="1" applyBorder="1" applyAlignment="1">
      <alignment wrapText="1"/>
    </xf>
    <xf numFmtId="3" fontId="20" fillId="0" borderId="7" xfId="0" applyNumberFormat="1" applyFont="1" applyBorder="1" applyAlignment="1">
      <alignment wrapText="1"/>
    </xf>
    <xf numFmtId="0" fontId="23" fillId="0" borderId="15" xfId="0" applyFont="1" applyBorder="1" applyAlignment="1">
      <alignment horizontal="right" wrapText="1" indent="1"/>
    </xf>
    <xf numFmtId="0" fontId="23" fillId="0" borderId="6" xfId="0" applyFont="1" applyBorder="1" applyAlignment="1">
      <alignment horizontal="right" wrapText="1" indent="1"/>
    </xf>
    <xf numFmtId="0" fontId="25" fillId="0" borderId="16" xfId="0" applyFont="1" applyBorder="1" applyAlignment="1">
      <alignment horizontal="center" vertical="center" wrapText="1"/>
    </xf>
    <xf numFmtId="0" fontId="30" fillId="0" borderId="15" xfId="0" applyFont="1" applyBorder="1" applyAlignment="1">
      <alignment horizontal="right" wrapText="1" indent="1"/>
    </xf>
    <xf numFmtId="0" fontId="30" fillId="0" borderId="6" xfId="0" applyFont="1" applyBorder="1" applyAlignment="1">
      <alignment horizontal="right" wrapText="1" indent="1"/>
    </xf>
    <xf numFmtId="0" fontId="30" fillId="4" borderId="6" xfId="0" applyFont="1" applyFill="1" applyBorder="1" applyAlignment="1">
      <alignment horizontal="right" wrapText="1" indent="1"/>
    </xf>
    <xf numFmtId="0" fontId="30" fillId="4" borderId="6" xfId="0" applyFont="1" applyFill="1" applyBorder="1" applyAlignment="1">
      <alignment horizontal="center"/>
    </xf>
    <xf numFmtId="1" fontId="73" fillId="0" borderId="0" xfId="0" applyNumberFormat="1" applyFont="1"/>
    <xf numFmtId="1" fontId="73" fillId="0" borderId="1" xfId="0" applyNumberFormat="1" applyFont="1" applyBorder="1"/>
    <xf numFmtId="1" fontId="73" fillId="0" borderId="17" xfId="0" applyNumberFormat="1" applyFont="1" applyBorder="1"/>
    <xf numFmtId="0" fontId="73" fillId="0" borderId="17" xfId="0" applyFont="1" applyBorder="1"/>
    <xf numFmtId="2" fontId="73" fillId="0" borderId="1" xfId="0" applyNumberFormat="1" applyFont="1" applyBorder="1"/>
    <xf numFmtId="2" fontId="73" fillId="0" borderId="17" xfId="0" applyNumberFormat="1" applyFont="1" applyBorder="1"/>
    <xf numFmtId="3" fontId="30" fillId="0" borderId="7" xfId="0" applyNumberFormat="1" applyFont="1" applyBorder="1" applyAlignment="1">
      <alignment horizontal="center" wrapText="1"/>
    </xf>
    <xf numFmtId="0" fontId="23" fillId="4" borderId="7" xfId="0" applyFont="1" applyFill="1" applyBorder="1" applyAlignment="1">
      <alignment horizontal="center" wrapText="1"/>
    </xf>
    <xf numFmtId="0" fontId="18" fillId="4" borderId="7" xfId="0" applyFont="1" applyFill="1" applyBorder="1"/>
    <xf numFmtId="0" fontId="18" fillId="4" borderId="7" xfId="0" applyFont="1" applyFill="1" applyBorder="1" applyAlignment="1">
      <alignment wrapText="1"/>
    </xf>
    <xf numFmtId="0" fontId="25" fillId="0" borderId="6" xfId="0" applyFont="1" applyBorder="1"/>
    <xf numFmtId="3" fontId="25" fillId="0" borderId="7" xfId="0" applyNumberFormat="1" applyFont="1" applyBorder="1" applyAlignment="1">
      <alignment horizontal="center" wrapText="1"/>
    </xf>
    <xf numFmtId="2" fontId="25" fillId="0" borderId="7" xfId="0" applyNumberFormat="1" applyFont="1" applyBorder="1" applyAlignment="1">
      <alignment horizontal="center" wrapText="1"/>
    </xf>
    <xf numFmtId="0" fontId="25" fillId="0" borderId="7" xfId="0" applyFont="1" applyBorder="1"/>
    <xf numFmtId="0" fontId="25" fillId="0" borderId="16" xfId="0" applyFont="1" applyBorder="1" applyAlignment="1">
      <alignment vertical="center"/>
    </xf>
    <xf numFmtId="0" fontId="20" fillId="0" borderId="0" xfId="0" applyFont="1" applyAlignment="1">
      <alignment vertical="center" wrapText="1"/>
    </xf>
    <xf numFmtId="0" fontId="25" fillId="4" borderId="7" xfId="0" applyFont="1" applyFill="1" applyBorder="1" applyAlignment="1">
      <alignment horizontal="center" wrapText="1"/>
    </xf>
    <xf numFmtId="3" fontId="18" fillId="0" borderId="7" xfId="0" applyNumberFormat="1" applyFont="1" applyBorder="1" applyAlignment="1">
      <alignment horizontal="right" wrapText="1"/>
    </xf>
    <xf numFmtId="0" fontId="18" fillId="0" borderId="7" xfId="0" applyFont="1" applyBorder="1" applyAlignment="1">
      <alignment horizontal="right" wrapText="1"/>
    </xf>
    <xf numFmtId="0" fontId="25" fillId="0" borderId="9" xfId="0" applyFont="1" applyBorder="1" applyAlignment="1">
      <alignment wrapText="1"/>
    </xf>
    <xf numFmtId="3" fontId="25" fillId="0" borderId="7" xfId="0" applyNumberFormat="1" applyFont="1" applyBorder="1" applyAlignment="1">
      <alignment horizontal="right" wrapText="1"/>
    </xf>
    <xf numFmtId="0" fontId="18" fillId="4" borderId="7" xfId="0" applyFont="1" applyFill="1" applyBorder="1" applyAlignment="1">
      <alignment horizontal="center" wrapText="1"/>
    </xf>
    <xf numFmtId="0" fontId="25" fillId="4" borderId="9" xfId="0" applyFont="1" applyFill="1" applyBorder="1" applyAlignment="1">
      <alignment wrapText="1"/>
    </xf>
    <xf numFmtId="0" fontId="25" fillId="0" borderId="9" xfId="0" applyFont="1" applyBorder="1" applyAlignment="1">
      <alignment horizontal="center" wrapText="1"/>
    </xf>
    <xf numFmtId="3" fontId="25" fillId="0" borderId="7" xfId="0" applyNumberFormat="1" applyFont="1" applyBorder="1" applyAlignment="1">
      <alignment wrapText="1"/>
    </xf>
    <xf numFmtId="0" fontId="62" fillId="0" borderId="0" xfId="11"/>
    <xf numFmtId="0" fontId="74" fillId="0" borderId="18" xfId="11" applyFont="1" applyBorder="1"/>
    <xf numFmtId="0" fontId="73" fillId="0" borderId="19" xfId="11" applyFont="1" applyBorder="1" applyAlignment="1">
      <alignment horizontal="center" wrapText="1"/>
    </xf>
    <xf numFmtId="0" fontId="73" fillId="0" borderId="19" xfId="11" applyFont="1" applyBorder="1" applyAlignment="1">
      <alignment wrapText="1"/>
    </xf>
    <xf numFmtId="0" fontId="75" fillId="0" borderId="19" xfId="11" applyFont="1" applyBorder="1" applyAlignment="1">
      <alignment wrapText="1"/>
    </xf>
    <xf numFmtId="0" fontId="76" fillId="0" borderId="19" xfId="11" applyFont="1" applyBorder="1" applyAlignment="1">
      <alignment wrapText="1"/>
    </xf>
    <xf numFmtId="0" fontId="76" fillId="0" borderId="20" xfId="11" applyFont="1" applyBorder="1" applyAlignment="1">
      <alignment wrapText="1"/>
    </xf>
    <xf numFmtId="0" fontId="62" fillId="0" borderId="21" xfId="11" applyBorder="1"/>
    <xf numFmtId="0" fontId="74" fillId="0" borderId="0" xfId="11" applyFont="1" applyAlignment="1">
      <alignment horizontal="center" wrapText="1"/>
    </xf>
    <xf numFmtId="0" fontId="74" fillId="0" borderId="0" xfId="11" applyFont="1"/>
    <xf numFmtId="0" fontId="74" fillId="0" borderId="10" xfId="11" applyFont="1" applyBorder="1"/>
    <xf numFmtId="1" fontId="77" fillId="0" borderId="1" xfId="11" applyNumberFormat="1" applyFont="1" applyBorder="1"/>
    <xf numFmtId="0" fontId="77" fillId="0" borderId="1" xfId="11" applyFont="1" applyBorder="1"/>
    <xf numFmtId="169" fontId="77" fillId="0" borderId="1" xfId="11" applyNumberFormat="1" applyFont="1" applyBorder="1" applyAlignment="1">
      <alignment horizontal="center"/>
    </xf>
    <xf numFmtId="1" fontId="77" fillId="0" borderId="1" xfId="11" applyNumberFormat="1" applyFont="1" applyBorder="1" applyAlignment="1">
      <alignment horizontal="center"/>
    </xf>
    <xf numFmtId="169" fontId="77" fillId="0" borderId="1" xfId="11" applyNumberFormat="1" applyFont="1" applyBorder="1"/>
    <xf numFmtId="173" fontId="77" fillId="0" borderId="1" xfId="11" applyNumberFormat="1" applyFont="1" applyBorder="1"/>
    <xf numFmtId="2" fontId="77" fillId="0" borderId="1" xfId="11" applyNumberFormat="1" applyFont="1" applyBorder="1"/>
    <xf numFmtId="169" fontId="62" fillId="0" borderId="1" xfId="11" applyNumberFormat="1" applyBorder="1"/>
    <xf numFmtId="2" fontId="62" fillId="0" borderId="5" xfId="11" applyNumberFormat="1" applyBorder="1"/>
    <xf numFmtId="1" fontId="77" fillId="0" borderId="17" xfId="11" applyNumberFormat="1" applyFont="1" applyBorder="1"/>
    <xf numFmtId="0" fontId="77" fillId="0" borderId="17" xfId="11" applyFont="1" applyBorder="1"/>
    <xf numFmtId="169" fontId="77" fillId="0" borderId="17" xfId="11" applyNumberFormat="1" applyFont="1" applyBorder="1" applyAlignment="1">
      <alignment horizontal="center"/>
    </xf>
    <xf numFmtId="1" fontId="77" fillId="0" borderId="17" xfId="11" applyNumberFormat="1" applyFont="1" applyBorder="1" applyAlignment="1">
      <alignment horizontal="center"/>
    </xf>
    <xf numFmtId="169" fontId="77" fillId="0" borderId="17" xfId="11" applyNumberFormat="1" applyFont="1" applyBorder="1"/>
    <xf numFmtId="2" fontId="77" fillId="0" borderId="17" xfId="11" applyNumberFormat="1" applyFont="1" applyBorder="1"/>
    <xf numFmtId="169" fontId="62" fillId="0" borderId="17" xfId="11" applyNumberFormat="1" applyBorder="1"/>
    <xf numFmtId="2" fontId="62" fillId="0" borderId="22" xfId="11" applyNumberFormat="1" applyBorder="1"/>
    <xf numFmtId="0" fontId="20" fillId="0" borderId="7" xfId="11" applyFont="1" applyBorder="1" applyAlignment="1">
      <alignment horizontal="center" wrapText="1"/>
    </xf>
    <xf numFmtId="0" fontId="20" fillId="0" borderId="7" xfId="11" applyFont="1" applyBorder="1" applyAlignment="1">
      <alignment horizontal="right" wrapText="1"/>
    </xf>
    <xf numFmtId="3" fontId="20" fillId="0" borderId="7" xfId="0" applyNumberFormat="1" applyFont="1" applyBorder="1" applyAlignment="1">
      <alignment horizontal="center" wrapText="1"/>
    </xf>
    <xf numFmtId="3" fontId="30" fillId="0" borderId="7" xfId="0" applyNumberFormat="1" applyFont="1" applyBorder="1" applyAlignment="1">
      <alignment horizontal="right" wrapText="1"/>
    </xf>
    <xf numFmtId="3" fontId="20" fillId="4" borderId="7" xfId="0" applyNumberFormat="1" applyFont="1" applyFill="1" applyBorder="1"/>
    <xf numFmtId="0" fontId="75" fillId="0" borderId="1" xfId="11" applyFont="1" applyBorder="1" applyAlignment="1">
      <alignment wrapText="1"/>
    </xf>
    <xf numFmtId="0" fontId="78" fillId="0" borderId="1" xfId="11" applyFont="1" applyBorder="1"/>
    <xf numFmtId="0" fontId="62" fillId="0" borderId="1" xfId="11" applyBorder="1"/>
    <xf numFmtId="0" fontId="73" fillId="0" borderId="1" xfId="11" applyFont="1" applyBorder="1"/>
    <xf numFmtId="1" fontId="62" fillId="0" borderId="1" xfId="11" applyNumberFormat="1" applyBorder="1"/>
    <xf numFmtId="3" fontId="62" fillId="0" borderId="1" xfId="11" applyNumberFormat="1" applyBorder="1"/>
    <xf numFmtId="0" fontId="62" fillId="0" borderId="1" xfId="11" applyBorder="1" applyAlignment="1">
      <alignment horizontal="center"/>
    </xf>
    <xf numFmtId="169" fontId="62" fillId="0" borderId="1" xfId="11" applyNumberFormat="1" applyBorder="1" applyAlignment="1">
      <alignment horizontal="center"/>
    </xf>
    <xf numFmtId="0" fontId="78" fillId="0" borderId="19" xfId="11" applyFont="1" applyBorder="1" applyAlignment="1">
      <alignment wrapText="1"/>
    </xf>
    <xf numFmtId="0" fontId="78" fillId="0" borderId="20" xfId="11" applyFont="1" applyBorder="1" applyAlignment="1">
      <alignment wrapText="1"/>
    </xf>
    <xf numFmtId="0" fontId="74" fillId="0" borderId="4" xfId="11" applyFont="1" applyBorder="1"/>
    <xf numFmtId="0" fontId="73" fillId="0" borderId="5" xfId="11" applyFont="1" applyBorder="1"/>
    <xf numFmtId="1" fontId="62" fillId="0" borderId="17" xfId="11" applyNumberFormat="1" applyBorder="1"/>
    <xf numFmtId="0" fontId="62" fillId="0" borderId="17" xfId="11" applyBorder="1"/>
    <xf numFmtId="3" fontId="62" fillId="0" borderId="17" xfId="11" applyNumberFormat="1" applyBorder="1"/>
    <xf numFmtId="0" fontId="62" fillId="0" borderId="17" xfId="11" applyBorder="1" applyAlignment="1">
      <alignment horizontal="center"/>
    </xf>
    <xf numFmtId="0" fontId="38" fillId="0" borderId="0" xfId="11" applyFont="1" applyAlignment="1" applyProtection="1">
      <alignment horizontal="left" vertical="center"/>
      <protection locked="0"/>
    </xf>
    <xf numFmtId="1" fontId="62" fillId="0" borderId="0" xfId="11" applyNumberFormat="1"/>
    <xf numFmtId="3" fontId="62" fillId="0" borderId="0" xfId="11" applyNumberFormat="1"/>
    <xf numFmtId="0" fontId="62" fillId="0" borderId="0" xfId="11" applyAlignment="1">
      <alignment horizontal="center"/>
    </xf>
    <xf numFmtId="2" fontId="62" fillId="0" borderId="0" xfId="11" applyNumberFormat="1"/>
    <xf numFmtId="169" fontId="62" fillId="0" borderId="23" xfId="11" applyNumberFormat="1" applyBorder="1" applyAlignment="1">
      <alignment horizontal="center"/>
    </xf>
    <xf numFmtId="2" fontId="62" fillId="0" borderId="24" xfId="11" applyNumberFormat="1" applyBorder="1"/>
    <xf numFmtId="169" fontId="78" fillId="0" borderId="25" xfId="11" applyNumberFormat="1" applyFont="1" applyBorder="1" applyAlignment="1">
      <alignment horizontal="center"/>
    </xf>
    <xf numFmtId="0" fontId="78" fillId="0" borderId="0" xfId="11" applyFont="1"/>
    <xf numFmtId="1" fontId="77" fillId="0" borderId="0" xfId="11" applyNumberFormat="1" applyFont="1"/>
    <xf numFmtId="0" fontId="77" fillId="0" borderId="0" xfId="11" applyFont="1"/>
    <xf numFmtId="169" fontId="77" fillId="0" borderId="0" xfId="11" applyNumberFormat="1" applyFont="1" applyAlignment="1">
      <alignment horizontal="center"/>
    </xf>
    <xf numFmtId="1" fontId="77" fillId="0" borderId="0" xfId="11" applyNumberFormat="1" applyFont="1" applyAlignment="1">
      <alignment horizontal="center"/>
    </xf>
    <xf numFmtId="169" fontId="77" fillId="0" borderId="0" xfId="11" applyNumberFormat="1" applyFont="1"/>
    <xf numFmtId="2" fontId="77" fillId="0" borderId="0" xfId="11" applyNumberFormat="1" applyFont="1"/>
    <xf numFmtId="169" fontId="62" fillId="0" borderId="0" xfId="11" applyNumberFormat="1"/>
    <xf numFmtId="169" fontId="79" fillId="0" borderId="15" xfId="11" applyNumberFormat="1" applyFont="1" applyBorder="1" applyAlignment="1">
      <alignment horizontal="center"/>
    </xf>
    <xf numFmtId="0" fontId="17" fillId="0" borderId="4" xfId="11" applyFont="1" applyBorder="1" applyAlignment="1" applyProtection="1">
      <alignment horizontal="left" vertical="center"/>
      <protection locked="0"/>
    </xf>
    <xf numFmtId="0" fontId="17" fillId="0" borderId="26" xfId="11" applyFont="1" applyBorder="1" applyAlignment="1" applyProtection="1">
      <alignment horizontal="left" vertical="center"/>
      <protection locked="0"/>
    </xf>
    <xf numFmtId="0" fontId="80" fillId="0" borderId="0" xfId="11" applyFont="1"/>
    <xf numFmtId="0" fontId="23" fillId="0" borderId="15" xfId="13" applyFont="1" applyBorder="1" applyAlignment="1">
      <alignment horizontal="right" wrapText="1" indent="1"/>
    </xf>
    <xf numFmtId="0" fontId="18" fillId="0" borderId="0" xfId="13"/>
    <xf numFmtId="0" fontId="23" fillId="0" borderId="6" xfId="13" applyFont="1" applyBorder="1" applyAlignment="1">
      <alignment horizontal="right" wrapText="1" indent="1"/>
    </xf>
    <xf numFmtId="0" fontId="23" fillId="4" borderId="6" xfId="13" applyFont="1" applyFill="1" applyBorder="1" applyAlignment="1">
      <alignment horizontal="right" wrapText="1" indent="1"/>
    </xf>
    <xf numFmtId="0" fontId="25" fillId="0" borderId="7" xfId="13" applyFont="1" applyBorder="1" applyAlignment="1">
      <alignment horizontal="center" vertical="top" wrapText="1"/>
    </xf>
    <xf numFmtId="0" fontId="25" fillId="0" borderId="7" xfId="13" applyFont="1" applyBorder="1" applyAlignment="1">
      <alignment horizontal="center" vertical="center" wrapText="1"/>
    </xf>
    <xf numFmtId="0" fontId="23" fillId="0" borderId="8" xfId="13" applyFont="1" applyBorder="1" applyAlignment="1">
      <alignment horizontal="center" wrapText="1"/>
    </xf>
    <xf numFmtId="0" fontId="25" fillId="0" borderId="6" xfId="13" applyFont="1" applyBorder="1" applyAlignment="1">
      <alignment horizontal="center" wrapText="1"/>
    </xf>
    <xf numFmtId="0" fontId="25" fillId="0" borderId="7" xfId="13" applyFont="1" applyBorder="1" applyAlignment="1">
      <alignment horizontal="center" wrapText="1"/>
    </xf>
    <xf numFmtId="0" fontId="25" fillId="0" borderId="7" xfId="13" applyFont="1" applyBorder="1" applyAlignment="1">
      <alignment wrapText="1"/>
    </xf>
    <xf numFmtId="0" fontId="25" fillId="0" borderId="7" xfId="13" applyFont="1" applyBorder="1" applyAlignment="1">
      <alignment horizontal="right" wrapText="1"/>
    </xf>
    <xf numFmtId="0" fontId="23" fillId="4" borderId="6" xfId="13" applyFont="1" applyFill="1" applyBorder="1" applyAlignment="1">
      <alignment horizontal="center"/>
    </xf>
    <xf numFmtId="0" fontId="25" fillId="4" borderId="7" xfId="13" applyFont="1" applyFill="1" applyBorder="1"/>
    <xf numFmtId="3" fontId="25" fillId="0" borderId="7" xfId="13" applyNumberFormat="1" applyFont="1" applyBorder="1" applyAlignment="1">
      <alignment horizontal="center" wrapText="1"/>
    </xf>
    <xf numFmtId="3" fontId="25" fillId="0" borderId="7" xfId="13" applyNumberFormat="1" applyFont="1" applyBorder="1" applyAlignment="1">
      <alignment horizontal="right" wrapText="1"/>
    </xf>
    <xf numFmtId="3" fontId="23" fillId="0" borderId="7" xfId="13" applyNumberFormat="1" applyFont="1" applyBorder="1" applyAlignment="1">
      <alignment horizontal="right" wrapText="1"/>
    </xf>
    <xf numFmtId="0" fontId="23" fillId="0" borderId="15" xfId="14" applyFont="1" applyBorder="1" applyAlignment="1">
      <alignment horizontal="right" wrapText="1" indent="1"/>
    </xf>
    <xf numFmtId="0" fontId="40" fillId="0" borderId="0" xfId="14"/>
    <xf numFmtId="0" fontId="23" fillId="0" borderId="6" xfId="14" applyFont="1" applyBorder="1" applyAlignment="1">
      <alignment horizontal="right" wrapText="1" indent="1"/>
    </xf>
    <xf numFmtId="0" fontId="23" fillId="4" borderId="6" xfId="14" applyFont="1" applyFill="1" applyBorder="1" applyAlignment="1">
      <alignment horizontal="right" wrapText="1" indent="1"/>
    </xf>
    <xf numFmtId="0" fontId="25" fillId="0" borderId="7" xfId="14" applyFont="1" applyBorder="1" applyAlignment="1">
      <alignment horizontal="center" vertical="top" wrapText="1"/>
    </xf>
    <xf numFmtId="0" fontId="25" fillId="0" borderId="7" xfId="14" applyFont="1" applyBorder="1" applyAlignment="1">
      <alignment horizontal="center" vertical="center" wrapText="1"/>
    </xf>
    <xf numFmtId="0" fontId="23" fillId="0" borderId="8" xfId="14" applyFont="1" applyBorder="1" applyAlignment="1">
      <alignment horizontal="center" wrapText="1"/>
    </xf>
    <xf numFmtId="0" fontId="25" fillId="0" borderId="6" xfId="14" applyFont="1" applyBorder="1" applyAlignment="1">
      <alignment horizontal="center" vertical="center" wrapText="1"/>
    </xf>
    <xf numFmtId="0" fontId="25" fillId="0" borderId="7" xfId="14" applyFont="1" applyBorder="1" applyAlignment="1">
      <alignment horizontal="center" wrapText="1"/>
    </xf>
    <xf numFmtId="0" fontId="25" fillId="4" borderId="7" xfId="14" applyFont="1" applyFill="1" applyBorder="1"/>
    <xf numFmtId="0" fontId="23" fillId="4" borderId="6" xfId="14" applyFont="1" applyFill="1" applyBorder="1" applyAlignment="1">
      <alignment horizontal="center"/>
    </xf>
    <xf numFmtId="0" fontId="81" fillId="0" borderId="0" xfId="0" applyFont="1" applyAlignment="1">
      <alignment wrapText="1"/>
    </xf>
    <xf numFmtId="1" fontId="25" fillId="0" borderId="7" xfId="14" applyNumberFormat="1" applyFont="1" applyBorder="1" applyAlignment="1">
      <alignment horizontal="center" wrapText="1"/>
    </xf>
    <xf numFmtId="2" fontId="23" fillId="0" borderId="7" xfId="14" applyNumberFormat="1" applyFont="1" applyBorder="1" applyAlignment="1">
      <alignment horizontal="right" wrapText="1"/>
    </xf>
    <xf numFmtId="0" fontId="40" fillId="0" borderId="1" xfId="14" applyBorder="1"/>
    <xf numFmtId="0" fontId="0" fillId="0" borderId="1" xfId="0" applyBorder="1"/>
    <xf numFmtId="2" fontId="0" fillId="0" borderId="1" xfId="0" applyNumberFormat="1" applyBorder="1"/>
    <xf numFmtId="175" fontId="14" fillId="0" borderId="1" xfId="0" applyNumberFormat="1" applyFont="1" applyBorder="1" applyAlignment="1" applyProtection="1">
      <alignment horizontal="right" vertical="center"/>
      <protection locked="0"/>
    </xf>
    <xf numFmtId="176" fontId="14" fillId="0" borderId="1" xfId="0" applyNumberFormat="1" applyFont="1" applyBorder="1" applyAlignment="1" applyProtection="1">
      <alignment horizontal="right" vertical="center"/>
      <protection locked="0"/>
    </xf>
    <xf numFmtId="171" fontId="23" fillId="0" borderId="7" xfId="0" applyNumberFormat="1" applyFont="1" applyBorder="1" applyAlignment="1">
      <alignment horizontal="right" wrapText="1"/>
    </xf>
    <xf numFmtId="171" fontId="19" fillId="0" borderId="7" xfId="0" applyNumberFormat="1" applyFont="1" applyBorder="1" applyAlignment="1">
      <alignment horizontal="right" wrapText="1"/>
    </xf>
    <xf numFmtId="0" fontId="14" fillId="0" borderId="0" xfId="0" applyFont="1" applyAlignment="1">
      <alignment horizontal="left" vertical="center"/>
    </xf>
    <xf numFmtId="0" fontId="74" fillId="0" borderId="0" xfId="11" applyFont="1" applyAlignment="1">
      <alignment horizontal="center"/>
    </xf>
    <xf numFmtId="4" fontId="78" fillId="0" borderId="15" xfId="0" applyNumberFormat="1" applyFont="1" applyBorder="1"/>
    <xf numFmtId="0" fontId="25" fillId="0" borderId="16" xfId="0" applyFont="1" applyBorder="1" applyAlignment="1">
      <alignment vertical="center" wrapText="1"/>
    </xf>
    <xf numFmtId="0" fontId="65" fillId="8" borderId="0" xfId="13" applyFont="1" applyFill="1"/>
    <xf numFmtId="0" fontId="18" fillId="0" borderId="0" xfId="13" applyAlignment="1">
      <alignment horizontal="center"/>
    </xf>
    <xf numFmtId="0" fontId="18" fillId="9" borderId="0" xfId="13" applyFill="1"/>
    <xf numFmtId="0" fontId="71" fillId="10" borderId="0" xfId="13" applyFont="1" applyFill="1"/>
    <xf numFmtId="0" fontId="74" fillId="0" borderId="4" xfId="13" applyFont="1" applyBorder="1"/>
    <xf numFmtId="1" fontId="73" fillId="0" borderId="1" xfId="13" applyNumberFormat="1" applyFont="1" applyBorder="1"/>
    <xf numFmtId="0" fontId="82" fillId="11" borderId="1" xfId="13" applyFont="1" applyFill="1" applyBorder="1"/>
    <xf numFmtId="0" fontId="82" fillId="12" borderId="1" xfId="13" applyFont="1" applyFill="1" applyBorder="1"/>
    <xf numFmtId="3" fontId="82" fillId="11" borderId="1" xfId="13" applyNumberFormat="1" applyFont="1" applyFill="1" applyBorder="1"/>
    <xf numFmtId="3" fontId="82" fillId="12" borderId="1" xfId="13" applyNumberFormat="1" applyFont="1" applyFill="1" applyBorder="1"/>
    <xf numFmtId="0" fontId="73" fillId="0" borderId="1" xfId="13" applyFont="1" applyBorder="1"/>
    <xf numFmtId="0" fontId="74" fillId="0" borderId="26" xfId="13" applyFont="1" applyBorder="1"/>
    <xf numFmtId="1" fontId="73" fillId="0" borderId="17" xfId="13" applyNumberFormat="1" applyFont="1" applyBorder="1"/>
    <xf numFmtId="3" fontId="18" fillId="0" borderId="0" xfId="13" applyNumberFormat="1"/>
    <xf numFmtId="0" fontId="18" fillId="10" borderId="0" xfId="13" applyFill="1"/>
    <xf numFmtId="1" fontId="73" fillId="0" borderId="23" xfId="13" applyNumberFormat="1" applyFont="1" applyBorder="1"/>
    <xf numFmtId="0" fontId="80" fillId="0" borderId="15" xfId="0" applyFont="1" applyBorder="1" applyAlignment="1">
      <alignment wrapText="1"/>
    </xf>
    <xf numFmtId="0" fontId="42" fillId="7" borderId="1" xfId="0" applyFont="1" applyFill="1" applyBorder="1"/>
    <xf numFmtId="0" fontId="44" fillId="7" borderId="27" xfId="0" applyFont="1" applyFill="1" applyBorder="1" applyAlignment="1">
      <alignment vertical="center"/>
    </xf>
    <xf numFmtId="0" fontId="83" fillId="13" borderId="0" xfId="0" applyFont="1" applyFill="1"/>
    <xf numFmtId="3" fontId="10" fillId="7" borderId="1" xfId="0" applyNumberFormat="1" applyFont="1" applyFill="1" applyBorder="1" applyAlignment="1">
      <alignment horizontal="left" vertical="center"/>
    </xf>
    <xf numFmtId="3" fontId="10" fillId="7" borderId="1" xfId="0" applyNumberFormat="1" applyFont="1" applyFill="1" applyBorder="1" applyAlignment="1">
      <alignment vertical="center"/>
    </xf>
    <xf numFmtId="3" fontId="9" fillId="7" borderId="1" xfId="0" applyNumberFormat="1" applyFont="1" applyFill="1" applyBorder="1" applyAlignment="1">
      <alignment horizontal="left" vertical="center"/>
    </xf>
    <xf numFmtId="0" fontId="84" fillId="13" borderId="0" xfId="0" applyFont="1" applyFill="1"/>
    <xf numFmtId="4" fontId="10" fillId="7" borderId="1" xfId="0" applyNumberFormat="1" applyFont="1" applyFill="1" applyBorder="1" applyAlignment="1">
      <alignment horizontal="left" vertical="center"/>
    </xf>
    <xf numFmtId="4" fontId="9" fillId="7" borderId="1" xfId="9" applyNumberFormat="1" applyFont="1" applyFill="1" applyBorder="1" applyAlignment="1" applyProtection="1">
      <alignment vertical="center"/>
      <protection locked="0"/>
    </xf>
    <xf numFmtId="2" fontId="10" fillId="7" borderId="1" xfId="0" applyNumberFormat="1" applyFont="1" applyFill="1" applyBorder="1"/>
    <xf numFmtId="3" fontId="10" fillId="7" borderId="1" xfId="0" applyNumberFormat="1" applyFont="1" applyFill="1" applyBorder="1"/>
    <xf numFmtId="3" fontId="9" fillId="7" borderId="1" xfId="0" applyNumberFormat="1" applyFont="1" applyFill="1" applyBorder="1"/>
    <xf numFmtId="4" fontId="10" fillId="7" borderId="1" xfId="0" applyNumberFormat="1" applyFont="1" applyFill="1" applyBorder="1"/>
    <xf numFmtId="165" fontId="10" fillId="7" borderId="1" xfId="9" applyFont="1" applyFill="1" applyBorder="1" applyAlignment="1" applyProtection="1">
      <alignment vertical="center"/>
      <protection locked="0"/>
    </xf>
    <xf numFmtId="10" fontId="10" fillId="7" borderId="1" xfId="0" applyNumberFormat="1" applyFont="1" applyFill="1" applyBorder="1" applyAlignment="1" applyProtection="1">
      <alignment vertical="center"/>
      <protection locked="0"/>
    </xf>
    <xf numFmtId="4" fontId="10" fillId="7" borderId="1" xfId="0" applyNumberFormat="1" applyFont="1" applyFill="1" applyBorder="1" applyAlignment="1">
      <alignment horizontal="center" vertical="center"/>
    </xf>
    <xf numFmtId="4" fontId="10" fillId="7" borderId="1" xfId="0" applyNumberFormat="1" applyFont="1" applyFill="1" applyBorder="1" applyAlignment="1">
      <alignment vertical="center"/>
    </xf>
    <xf numFmtId="4" fontId="15" fillId="7" borderId="1" xfId="0" applyNumberFormat="1" applyFont="1" applyFill="1" applyBorder="1" applyAlignment="1">
      <alignment horizontal="center" vertical="center"/>
    </xf>
    <xf numFmtId="4" fontId="10" fillId="7" borderId="1" xfId="0" applyNumberFormat="1" applyFont="1" applyFill="1" applyBorder="1" applyAlignment="1" applyProtection="1">
      <alignment vertical="center"/>
      <protection locked="0"/>
    </xf>
    <xf numFmtId="0" fontId="15" fillId="7" borderId="1" xfId="0" applyFont="1" applyFill="1" applyBorder="1" applyAlignment="1">
      <alignment vertical="center"/>
    </xf>
    <xf numFmtId="0" fontId="15" fillId="7" borderId="1" xfId="0" applyFont="1" applyFill="1" applyBorder="1" applyAlignment="1">
      <alignment horizontal="left" vertical="center"/>
    </xf>
    <xf numFmtId="4" fontId="9" fillId="7" borderId="1" xfId="0" applyNumberFormat="1" applyFont="1" applyFill="1" applyBorder="1" applyAlignment="1">
      <alignment horizontal="left" vertical="center"/>
    </xf>
    <xf numFmtId="0" fontId="64" fillId="6" borderId="1" xfId="3" applyBorder="1" applyAlignment="1" applyProtection="1">
      <alignment horizontal="center" vertical="center"/>
    </xf>
    <xf numFmtId="0" fontId="64" fillId="6" borderId="1" xfId="3" applyBorder="1" applyAlignment="1" applyProtection="1">
      <alignment horizontal="center"/>
    </xf>
    <xf numFmtId="0" fontId="64" fillId="6" borderId="1" xfId="3" applyBorder="1" applyAlignment="1" applyProtection="1">
      <alignment vertical="center"/>
    </xf>
    <xf numFmtId="0" fontId="65" fillId="5" borderId="94" xfId="1" applyAlignment="1" applyProtection="1">
      <alignment horizontal="left" vertical="center"/>
    </xf>
    <xf numFmtId="3" fontId="64" fillId="6" borderId="1" xfId="3" applyNumberFormat="1" applyBorder="1" applyAlignment="1" applyProtection="1">
      <alignment horizontal="center" vertical="center"/>
    </xf>
    <xf numFmtId="3" fontId="10" fillId="14" borderId="1" xfId="0" applyNumberFormat="1" applyFont="1" applyFill="1" applyBorder="1" applyAlignment="1">
      <alignment vertical="center"/>
    </xf>
    <xf numFmtId="3" fontId="10" fillId="14" borderId="1" xfId="0" applyNumberFormat="1" applyFont="1" applyFill="1" applyBorder="1" applyAlignment="1">
      <alignment horizontal="right" vertical="center"/>
    </xf>
    <xf numFmtId="3" fontId="85" fillId="14" borderId="1" xfId="0" applyNumberFormat="1" applyFont="1" applyFill="1" applyBorder="1" applyAlignment="1">
      <alignment vertical="center"/>
    </xf>
    <xf numFmtId="3" fontId="9" fillId="14" borderId="1" xfId="0" applyNumberFormat="1" applyFont="1" applyFill="1" applyBorder="1" applyAlignment="1">
      <alignment horizontal="right" vertical="center"/>
    </xf>
    <xf numFmtId="3" fontId="85" fillId="14" borderId="1" xfId="0" applyNumberFormat="1" applyFont="1" applyFill="1" applyBorder="1" applyAlignment="1" applyProtection="1">
      <alignment vertical="center"/>
      <protection locked="0"/>
    </xf>
    <xf numFmtId="0" fontId="65" fillId="6" borderId="1" xfId="3" applyFont="1" applyBorder="1" applyAlignment="1" applyProtection="1">
      <alignment horizontal="left" vertical="center"/>
    </xf>
    <xf numFmtId="3" fontId="72" fillId="0" borderId="0" xfId="0" applyNumberFormat="1" applyFont="1"/>
    <xf numFmtId="0" fontId="64" fillId="6" borderId="23" xfId="3" applyBorder="1" applyAlignment="1" applyProtection="1">
      <alignment horizontal="center" vertical="center"/>
    </xf>
    <xf numFmtId="0" fontId="65" fillId="6" borderId="1" xfId="3" applyFont="1" applyBorder="1" applyAlignment="1" applyProtection="1">
      <alignment vertical="center"/>
    </xf>
    <xf numFmtId="0" fontId="64" fillId="6" borderId="1" xfId="3" applyBorder="1"/>
    <xf numFmtId="4" fontId="64" fillId="6" borderId="1" xfId="3" applyNumberFormat="1" applyBorder="1"/>
    <xf numFmtId="3" fontId="64" fillId="6" borderId="1" xfId="3" applyNumberFormat="1" applyBorder="1"/>
    <xf numFmtId="3" fontId="10" fillId="14" borderId="1" xfId="9" applyNumberFormat="1" applyFont="1" applyFill="1" applyBorder="1" applyAlignment="1" applyProtection="1">
      <alignment vertical="center"/>
      <protection locked="0"/>
    </xf>
    <xf numFmtId="3" fontId="10" fillId="14" borderId="1" xfId="9" applyNumberFormat="1" applyFont="1" applyFill="1" applyBorder="1" applyAlignment="1" applyProtection="1">
      <alignment vertical="center" wrapText="1"/>
      <protection locked="0"/>
    </xf>
    <xf numFmtId="3" fontId="10" fillId="14" borderId="1" xfId="9" applyNumberFormat="1" applyFont="1" applyFill="1" applyBorder="1" applyAlignment="1" applyProtection="1">
      <alignment vertical="center"/>
    </xf>
    <xf numFmtId="0" fontId="64" fillId="6" borderId="1" xfId="3" applyBorder="1" applyAlignment="1" applyProtection="1">
      <alignment horizontal="center" vertical="center" wrapText="1"/>
    </xf>
    <xf numFmtId="3" fontId="64" fillId="6" borderId="1" xfId="3" applyNumberFormat="1" applyBorder="1" applyAlignment="1" applyProtection="1">
      <alignment vertical="center"/>
    </xf>
    <xf numFmtId="4" fontId="9" fillId="14" borderId="1" xfId="9" applyNumberFormat="1" applyFont="1" applyFill="1" applyBorder="1" applyAlignment="1" applyProtection="1">
      <alignment vertical="center"/>
      <protection locked="0"/>
    </xf>
    <xf numFmtId="2" fontId="10" fillId="7" borderId="32" xfId="0" applyNumberFormat="1" applyFont="1" applyFill="1" applyBorder="1"/>
    <xf numFmtId="0" fontId="64" fillId="6" borderId="32" xfId="3" applyBorder="1"/>
    <xf numFmtId="0" fontId="64" fillId="6" borderId="33" xfId="3" applyBorder="1" applyAlignment="1" applyProtection="1">
      <alignment horizontal="center" vertical="center"/>
    </xf>
    <xf numFmtId="0" fontId="64" fillId="6" borderId="24" xfId="3" applyBorder="1" applyAlignment="1" applyProtection="1">
      <alignment horizontal="center" vertical="center" wrapText="1"/>
    </xf>
    <xf numFmtId="4" fontId="10" fillId="7" borderId="4" xfId="0" applyNumberFormat="1" applyFont="1" applyFill="1" applyBorder="1" applyAlignment="1">
      <alignment horizontal="left" vertical="center"/>
    </xf>
    <xf numFmtId="3" fontId="9" fillId="7" borderId="5" xfId="9" applyNumberFormat="1" applyFont="1" applyFill="1" applyBorder="1" applyAlignment="1" applyProtection="1">
      <alignment vertical="center"/>
    </xf>
    <xf numFmtId="4" fontId="64" fillId="6" borderId="26" xfId="3" applyNumberFormat="1" applyBorder="1"/>
    <xf numFmtId="3" fontId="64" fillId="6" borderId="17" xfId="3" applyNumberFormat="1" applyBorder="1"/>
    <xf numFmtId="3" fontId="64" fillId="6" borderId="22" xfId="3" applyNumberFormat="1" applyBorder="1" applyProtection="1"/>
    <xf numFmtId="4" fontId="64" fillId="6" borderId="26" xfId="3" applyNumberFormat="1" applyBorder="1" applyProtection="1"/>
    <xf numFmtId="3" fontId="64" fillId="6" borderId="17" xfId="3" applyNumberFormat="1" applyBorder="1" applyProtection="1"/>
    <xf numFmtId="4" fontId="10" fillId="7" borderId="34" xfId="0" applyNumberFormat="1" applyFont="1" applyFill="1" applyBorder="1" applyAlignment="1">
      <alignment horizontal="left" vertical="center"/>
    </xf>
    <xf numFmtId="4" fontId="10" fillId="7" borderId="35" xfId="0" applyNumberFormat="1" applyFont="1" applyFill="1" applyBorder="1" applyAlignment="1">
      <alignment horizontal="left" vertical="center"/>
    </xf>
    <xf numFmtId="4" fontId="64" fillId="6" borderId="1" xfId="3" applyNumberFormat="1" applyBorder="1" applyAlignment="1" applyProtection="1">
      <alignment vertical="center"/>
    </xf>
    <xf numFmtId="0" fontId="64" fillId="6" borderId="1" xfId="3" applyBorder="1" applyAlignment="1">
      <alignment horizontal="center"/>
    </xf>
    <xf numFmtId="0" fontId="65" fillId="6" borderId="1" xfId="3" applyFont="1" applyBorder="1" applyAlignment="1" applyProtection="1">
      <alignment horizontal="left" vertical="center" indent="4"/>
    </xf>
    <xf numFmtId="0" fontId="64" fillId="0" borderId="0" xfId="3" applyFill="1" applyBorder="1" applyAlignment="1" applyProtection="1">
      <alignment vertical="center"/>
    </xf>
    <xf numFmtId="0" fontId="64" fillId="0" borderId="0" xfId="3" applyFill="1" applyBorder="1"/>
    <xf numFmtId="4" fontId="64" fillId="0" borderId="0" xfId="3" applyNumberFormat="1" applyFill="1" applyBorder="1"/>
    <xf numFmtId="3" fontId="64" fillId="0" borderId="0" xfId="3" applyNumberFormat="1" applyFill="1" applyBorder="1"/>
    <xf numFmtId="3" fontId="64" fillId="0" borderId="0" xfId="3" applyNumberFormat="1" applyFill="1" applyBorder="1" applyAlignment="1" applyProtection="1">
      <alignment vertical="center"/>
    </xf>
    <xf numFmtId="3" fontId="9" fillId="14" borderId="1" xfId="9" applyNumberFormat="1" applyFont="1" applyFill="1" applyBorder="1" applyAlignment="1" applyProtection="1">
      <alignment vertical="center"/>
      <protection locked="0"/>
    </xf>
    <xf numFmtId="4" fontId="10" fillId="14" borderId="1" xfId="9" applyNumberFormat="1" applyFont="1" applyFill="1" applyBorder="1" applyAlignment="1" applyProtection="1">
      <alignment vertical="center"/>
      <protection locked="0"/>
    </xf>
    <xf numFmtId="4" fontId="9" fillId="15" borderId="1" xfId="0" applyNumberFormat="1" applyFont="1" applyFill="1" applyBorder="1" applyAlignment="1">
      <alignment vertical="center"/>
    </xf>
    <xf numFmtId="3" fontId="9" fillId="16" borderId="1" xfId="0" applyNumberFormat="1" applyFont="1" applyFill="1" applyBorder="1" applyAlignment="1">
      <alignment horizontal="right" vertical="center" wrapText="1"/>
    </xf>
    <xf numFmtId="3" fontId="10" fillId="16" borderId="1" xfId="9" applyNumberFormat="1" applyFont="1" applyFill="1" applyBorder="1" applyAlignment="1" applyProtection="1">
      <alignment horizontal="left" vertical="center"/>
    </xf>
    <xf numFmtId="3" fontId="10" fillId="16" borderId="1" xfId="0" applyNumberFormat="1" applyFont="1" applyFill="1" applyBorder="1" applyAlignment="1">
      <alignment horizontal="left" vertical="center"/>
    </xf>
    <xf numFmtId="3" fontId="9" fillId="16" borderId="1" xfId="0" applyNumberFormat="1" applyFont="1" applyFill="1" applyBorder="1" applyAlignment="1">
      <alignment horizontal="right" vertical="center"/>
    </xf>
    <xf numFmtId="3" fontId="9" fillId="16" borderId="1" xfId="0" applyNumberFormat="1" applyFont="1" applyFill="1" applyBorder="1" applyAlignment="1">
      <alignment vertical="center"/>
    </xf>
    <xf numFmtId="3" fontId="9" fillId="16" borderId="36" xfId="9" applyNumberFormat="1" applyFont="1" applyFill="1" applyBorder="1" applyAlignment="1" applyProtection="1">
      <alignment vertical="center"/>
      <protection locked="0"/>
    </xf>
    <xf numFmtId="4" fontId="10" fillId="16" borderId="1" xfId="0" applyNumberFormat="1" applyFont="1" applyFill="1" applyBorder="1" applyAlignment="1">
      <alignment horizontal="left" vertical="center"/>
    </xf>
    <xf numFmtId="0" fontId="83" fillId="0" borderId="0" xfId="0" applyFont="1"/>
    <xf numFmtId="0" fontId="65" fillId="6" borderId="32" xfId="3" applyFont="1" applyBorder="1" applyAlignment="1" applyProtection="1">
      <alignment horizontal="center" vertical="center"/>
    </xf>
    <xf numFmtId="2" fontId="64" fillId="6" borderId="1" xfId="3" applyNumberFormat="1" applyBorder="1"/>
    <xf numFmtId="0" fontId="64" fillId="0" borderId="0" xfId="3" applyFill="1" applyBorder="1" applyAlignment="1" applyProtection="1">
      <alignment horizontal="center" vertical="center"/>
    </xf>
    <xf numFmtId="3" fontId="39" fillId="16" borderId="1" xfId="0" applyNumberFormat="1" applyFont="1" applyFill="1" applyBorder="1" applyAlignment="1">
      <alignment horizontal="center" vertical="center"/>
    </xf>
    <xf numFmtId="0" fontId="20" fillId="0" borderId="10" xfId="0" applyFont="1" applyBorder="1" applyAlignment="1">
      <alignment horizontal="center" vertical="center" wrapText="1"/>
    </xf>
    <xf numFmtId="0" fontId="86" fillId="0" borderId="0" xfId="0" applyFont="1" applyAlignment="1">
      <alignment horizontal="left" vertical="top" wrapText="1"/>
    </xf>
    <xf numFmtId="2" fontId="19" fillId="0" borderId="7" xfId="0" applyNumberFormat="1" applyFont="1" applyBorder="1" applyAlignment="1">
      <alignment horizontal="center" vertical="center" wrapText="1"/>
    </xf>
    <xf numFmtId="0" fontId="14" fillId="0" borderId="0" xfId="0" applyFont="1" applyAlignment="1">
      <alignment vertical="center"/>
    </xf>
    <xf numFmtId="0" fontId="45" fillId="0" borderId="0" xfId="16" applyFont="1" applyAlignment="1" applyProtection="1">
      <alignment vertical="top"/>
      <protection locked="0"/>
    </xf>
    <xf numFmtId="0" fontId="14" fillId="0" borderId="0" xfId="16" applyAlignment="1" applyProtection="1">
      <alignment vertical="top"/>
      <protection locked="0"/>
    </xf>
    <xf numFmtId="0" fontId="87" fillId="17" borderId="38" xfId="16" applyFont="1" applyFill="1" applyBorder="1" applyAlignment="1">
      <alignment vertical="top"/>
    </xf>
    <xf numFmtId="0" fontId="88" fillId="17" borderId="39" xfId="16" applyFont="1" applyFill="1" applyBorder="1" applyAlignment="1">
      <alignment vertical="top"/>
    </xf>
    <xf numFmtId="0" fontId="87" fillId="17" borderId="21" xfId="16" applyFont="1" applyFill="1" applyBorder="1" applyAlignment="1">
      <alignment horizontal="left" vertical="top"/>
    </xf>
    <xf numFmtId="0" fontId="87" fillId="17" borderId="0" xfId="16" applyFont="1" applyFill="1" applyAlignment="1">
      <alignment horizontal="left" vertical="top"/>
    </xf>
    <xf numFmtId="0" fontId="87" fillId="17" borderId="10" xfId="16" applyFont="1" applyFill="1" applyBorder="1" applyAlignment="1">
      <alignment horizontal="left" vertical="top"/>
    </xf>
    <xf numFmtId="10" fontId="89" fillId="0" borderId="0" xfId="0" applyNumberFormat="1" applyFont="1" applyAlignment="1">
      <alignment horizontal="center"/>
    </xf>
    <xf numFmtId="0" fontId="0" fillId="0" borderId="37" xfId="0" applyBorder="1"/>
    <xf numFmtId="0" fontId="0" fillId="0" borderId="7" xfId="0" applyBorder="1"/>
    <xf numFmtId="0" fontId="45" fillId="0" borderId="0" xfId="16" applyFont="1" applyProtection="1">
      <protection locked="0"/>
    </xf>
    <xf numFmtId="0" fontId="45" fillId="0" borderId="40" xfId="16" applyFont="1" applyBorder="1" applyProtection="1">
      <protection locked="0"/>
    </xf>
    <xf numFmtId="0" fontId="87" fillId="17" borderId="39" xfId="16" applyFont="1" applyFill="1" applyBorder="1" applyAlignment="1">
      <alignment vertical="top"/>
    </xf>
    <xf numFmtId="0" fontId="45" fillId="0" borderId="21" xfId="16" applyFont="1" applyBorder="1" applyProtection="1">
      <protection locked="0"/>
    </xf>
    <xf numFmtId="0" fontId="45" fillId="0" borderId="41" xfId="16" applyFont="1" applyBorder="1" applyProtection="1">
      <protection locked="0"/>
    </xf>
    <xf numFmtId="0" fontId="45" fillId="0" borderId="10" xfId="16" applyFont="1" applyBorder="1" applyProtection="1">
      <protection locked="0"/>
    </xf>
    <xf numFmtId="0" fontId="0" fillId="0" borderId="10" xfId="0" applyBorder="1"/>
    <xf numFmtId="0" fontId="0" fillId="0" borderId="42" xfId="0" applyBorder="1"/>
    <xf numFmtId="0" fontId="45" fillId="0" borderId="13" xfId="16" applyFont="1" applyBorder="1" applyProtection="1">
      <protection locked="0"/>
    </xf>
    <xf numFmtId="0" fontId="30" fillId="4" borderId="46" xfId="0" applyFont="1" applyFill="1" applyBorder="1" applyAlignment="1">
      <alignment horizontal="center"/>
    </xf>
    <xf numFmtId="0" fontId="30" fillId="0" borderId="38" xfId="0" applyFont="1" applyBorder="1" applyAlignment="1">
      <alignment horizontal="center"/>
    </xf>
    <xf numFmtId="0" fontId="20" fillId="0" borderId="0" xfId="0" applyFont="1"/>
    <xf numFmtId="0" fontId="30" fillId="0" borderId="0" xfId="0" applyFont="1" applyAlignment="1">
      <alignment horizontal="right" wrapText="1"/>
    </xf>
    <xf numFmtId="3" fontId="30" fillId="0" borderId="10" xfId="0" applyNumberFormat="1" applyFont="1" applyBorder="1" applyAlignment="1">
      <alignment horizontal="right" wrapText="1"/>
    </xf>
    <xf numFmtId="0" fontId="65" fillId="6" borderId="0" xfId="3" applyFont="1" applyBorder="1" applyAlignment="1" applyProtection="1">
      <alignment vertical="center"/>
    </xf>
    <xf numFmtId="3" fontId="10" fillId="7" borderId="1" xfId="0" applyNumberFormat="1" applyFont="1" applyFill="1" applyBorder="1" applyAlignment="1" applyProtection="1">
      <alignment vertical="center"/>
      <protection locked="0"/>
    </xf>
    <xf numFmtId="0" fontId="73" fillId="0" borderId="0" xfId="0" applyFont="1" applyAlignment="1">
      <alignment wrapText="1"/>
    </xf>
    <xf numFmtId="0" fontId="76" fillId="0" borderId="4" xfId="0" applyFont="1" applyBorder="1"/>
    <xf numFmtId="0" fontId="76" fillId="0" borderId="26" xfId="0" applyFont="1" applyBorder="1"/>
    <xf numFmtId="0" fontId="90" fillId="18" borderId="0" xfId="0" applyFont="1" applyFill="1"/>
    <xf numFmtId="1" fontId="90" fillId="18" borderId="0" xfId="0" applyNumberFormat="1" applyFont="1" applyFill="1"/>
    <xf numFmtId="0" fontId="91" fillId="18" borderId="0" xfId="0" applyFont="1" applyFill="1"/>
    <xf numFmtId="0" fontId="92" fillId="0" borderId="0" xfId="0" applyFont="1"/>
    <xf numFmtId="0" fontId="93" fillId="0" borderId="0" xfId="0" applyFont="1"/>
    <xf numFmtId="0" fontId="0" fillId="0" borderId="47" xfId="0" applyBorder="1"/>
    <xf numFmtId="0" fontId="78" fillId="19" borderId="48" xfId="0" applyFont="1" applyFill="1" applyBorder="1"/>
    <xf numFmtId="0" fontId="75" fillId="19" borderId="49" xfId="0" applyFont="1" applyFill="1" applyBorder="1" applyAlignment="1">
      <alignment horizontal="center"/>
    </xf>
    <xf numFmtId="0" fontId="75" fillId="19" borderId="49" xfId="0" applyFont="1" applyFill="1" applyBorder="1"/>
    <xf numFmtId="0" fontId="94" fillId="18" borderId="13" xfId="0" applyFont="1" applyFill="1" applyBorder="1" applyAlignment="1">
      <alignment horizontal="center"/>
    </xf>
    <xf numFmtId="1" fontId="73" fillId="0" borderId="2" xfId="0" applyNumberFormat="1" applyFont="1" applyBorder="1"/>
    <xf numFmtId="2" fontId="73" fillId="0" borderId="2" xfId="0" applyNumberFormat="1" applyFont="1" applyBorder="1"/>
    <xf numFmtId="0" fontId="78" fillId="0" borderId="18" xfId="0" applyFont="1" applyBorder="1"/>
    <xf numFmtId="0" fontId="73" fillId="0" borderId="19" xfId="0" applyFont="1" applyBorder="1" applyAlignment="1">
      <alignment wrapText="1"/>
    </xf>
    <xf numFmtId="0" fontId="65" fillId="0" borderId="0" xfId="3" applyFont="1" applyFill="1" applyBorder="1" applyAlignment="1" applyProtection="1">
      <alignment vertical="center"/>
    </xf>
    <xf numFmtId="4" fontId="10" fillId="0" borderId="0" xfId="0" applyNumberFormat="1" applyFont="1" applyAlignment="1">
      <alignment horizontal="center" vertical="center"/>
    </xf>
    <xf numFmtId="4" fontId="9" fillId="0" borderId="0" xfId="9" applyNumberFormat="1" applyFont="1" applyFill="1" applyBorder="1" applyAlignment="1" applyProtection="1">
      <alignment vertical="center"/>
      <protection locked="0"/>
    </xf>
    <xf numFmtId="4" fontId="10" fillId="0" borderId="0" xfId="0" applyNumberFormat="1" applyFont="1" applyAlignment="1">
      <alignment vertical="center"/>
    </xf>
    <xf numFmtId="4" fontId="15" fillId="0" borderId="0" xfId="0" applyNumberFormat="1" applyFont="1" applyAlignment="1">
      <alignment horizontal="center" vertical="center"/>
    </xf>
    <xf numFmtId="4" fontId="10" fillId="0" borderId="0" xfId="0" applyNumberFormat="1" applyFont="1" applyAlignment="1" applyProtection="1">
      <alignment vertical="center"/>
      <protection locked="0"/>
    </xf>
    <xf numFmtId="4" fontId="10" fillId="0" borderId="0" xfId="0" applyNumberFormat="1" applyFont="1" applyAlignment="1">
      <alignment horizontal="left" vertical="center"/>
    </xf>
    <xf numFmtId="4" fontId="20" fillId="0" borderId="7" xfId="11" applyNumberFormat="1" applyFont="1" applyBorder="1" applyAlignment="1">
      <alignment horizontal="center" wrapText="1"/>
    </xf>
    <xf numFmtId="0" fontId="95" fillId="0" borderId="0" xfId="3" applyFont="1" applyFill="1" applyBorder="1" applyAlignment="1" applyProtection="1">
      <alignment vertical="center"/>
      <protection locked="0"/>
    </xf>
    <xf numFmtId="0" fontId="20" fillId="0" borderId="11" xfId="0" applyFont="1" applyBorder="1" applyAlignment="1">
      <alignment vertical="center" wrapText="1"/>
    </xf>
    <xf numFmtId="0" fontId="18" fillId="0" borderId="1" xfId="14" applyFont="1" applyBorder="1"/>
    <xf numFmtId="0" fontId="40" fillId="0" borderId="4" xfId="14" applyBorder="1"/>
    <xf numFmtId="0" fontId="40" fillId="0" borderId="5" xfId="14" applyBorder="1"/>
    <xf numFmtId="0" fontId="18" fillId="0" borderId="4" xfId="14" applyFont="1" applyBorder="1"/>
    <xf numFmtId="9" fontId="40" fillId="0" borderId="5" xfId="14" applyNumberFormat="1" applyBorder="1"/>
    <xf numFmtId="0" fontId="19" fillId="19" borderId="26" xfId="14" applyFont="1" applyFill="1" applyBorder="1"/>
    <xf numFmtId="0" fontId="19" fillId="19" borderId="17" xfId="14" applyFont="1" applyFill="1" applyBorder="1"/>
    <xf numFmtId="3" fontId="19" fillId="19" borderId="22" xfId="14" applyNumberFormat="1" applyFont="1" applyFill="1" applyBorder="1"/>
    <xf numFmtId="0" fontId="19" fillId="19" borderId="4" xfId="14" applyFont="1" applyFill="1" applyBorder="1"/>
    <xf numFmtId="0" fontId="19" fillId="19" borderId="1" xfId="14" applyFont="1" applyFill="1" applyBorder="1"/>
    <xf numFmtId="3" fontId="19" fillId="19" borderId="5" xfId="14" applyNumberFormat="1" applyFont="1" applyFill="1" applyBorder="1"/>
    <xf numFmtId="1" fontId="18" fillId="0" borderId="5" xfId="14" applyNumberFormat="1" applyFont="1" applyBorder="1"/>
    <xf numFmtId="0" fontId="73" fillId="0" borderId="21" xfId="0" applyFont="1" applyBorder="1"/>
    <xf numFmtId="0" fontId="73" fillId="0" borderId="10" xfId="0" applyFont="1" applyBorder="1"/>
    <xf numFmtId="0" fontId="73" fillId="0" borderId="42" xfId="0" applyFont="1" applyBorder="1"/>
    <xf numFmtId="0" fontId="73" fillId="0" borderId="37" xfId="0" applyFont="1" applyBorder="1"/>
    <xf numFmtId="0" fontId="73" fillId="0" borderId="7" xfId="0" applyFont="1" applyBorder="1"/>
    <xf numFmtId="0" fontId="87" fillId="17" borderId="0" xfId="16" applyFont="1" applyFill="1" applyAlignment="1">
      <alignment horizontal="center" vertical="top"/>
    </xf>
    <xf numFmtId="0" fontId="87" fillId="0" borderId="0" xfId="16" applyFont="1" applyAlignment="1">
      <alignment vertical="top"/>
    </xf>
    <xf numFmtId="0" fontId="87" fillId="0" borderId="0" xfId="16" applyFont="1" applyAlignment="1">
      <alignment horizontal="left" vertical="top"/>
    </xf>
    <xf numFmtId="0" fontId="96" fillId="20" borderId="19" xfId="14" applyFont="1" applyFill="1" applyBorder="1"/>
    <xf numFmtId="0" fontId="96" fillId="20" borderId="20" xfId="14" applyFont="1" applyFill="1" applyBorder="1"/>
    <xf numFmtId="0" fontId="20" fillId="0" borderId="7" xfId="14" applyFont="1" applyBorder="1" applyAlignment="1">
      <alignment horizontal="center" vertical="center" wrapText="1"/>
    </xf>
    <xf numFmtId="0" fontId="19" fillId="0" borderId="50" xfId="14" applyFont="1" applyBorder="1"/>
    <xf numFmtId="0" fontId="40" fillId="0" borderId="51" xfId="14" applyBorder="1"/>
    <xf numFmtId="0" fontId="40" fillId="0" borderId="14" xfId="14" applyBorder="1"/>
    <xf numFmtId="0" fontId="18" fillId="0" borderId="0" xfId="14" applyFont="1"/>
    <xf numFmtId="0" fontId="40" fillId="0" borderId="42" xfId="14" applyBorder="1"/>
    <xf numFmtId="0" fontId="40" fillId="0" borderId="37" xfId="14" applyBorder="1"/>
    <xf numFmtId="0" fontId="40" fillId="0" borderId="7" xfId="14" applyBorder="1"/>
    <xf numFmtId="0" fontId="18" fillId="0" borderId="42" xfId="13" applyBorder="1"/>
    <xf numFmtId="0" fontId="18" fillId="0" borderId="37" xfId="13" applyBorder="1"/>
    <xf numFmtId="0" fontId="18" fillId="0" borderId="7" xfId="13" applyBorder="1"/>
    <xf numFmtId="0" fontId="25" fillId="0" borderId="21" xfId="13" applyFont="1" applyBorder="1"/>
    <xf numFmtId="0" fontId="25" fillId="0" borderId="0" xfId="13" applyFont="1" applyAlignment="1">
      <alignment horizontal="center"/>
    </xf>
    <xf numFmtId="0" fontId="25" fillId="0" borderId="0" xfId="13" applyFont="1"/>
    <xf numFmtId="0" fontId="25" fillId="0" borderId="10" xfId="13" applyFont="1" applyBorder="1"/>
    <xf numFmtId="0" fontId="25" fillId="0" borderId="21" xfId="14" applyFont="1" applyBorder="1"/>
    <xf numFmtId="0" fontId="25" fillId="0" borderId="0" xfId="14" applyFont="1"/>
    <xf numFmtId="0" fontId="25" fillId="0" borderId="0" xfId="14" applyFont="1" applyAlignment="1">
      <alignment horizontal="center"/>
    </xf>
    <xf numFmtId="0" fontId="25" fillId="0" borderId="10" xfId="14" applyFont="1" applyBorder="1"/>
    <xf numFmtId="0" fontId="74" fillId="0" borderId="21" xfId="0" applyFont="1" applyBorder="1"/>
    <xf numFmtId="0" fontId="74" fillId="0" borderId="0" xfId="0" applyFont="1"/>
    <xf numFmtId="0" fontId="74" fillId="0" borderId="10" xfId="0" applyFont="1" applyBorder="1"/>
    <xf numFmtId="0" fontId="97" fillId="7" borderId="1" xfId="0" applyFont="1" applyFill="1" applyBorder="1" applyAlignment="1">
      <alignment vertical="center"/>
    </xf>
    <xf numFmtId="0" fontId="98" fillId="0" borderId="1" xfId="0" applyFont="1" applyBorder="1" applyAlignment="1">
      <alignment horizontal="center" vertical="center" wrapText="1"/>
    </xf>
    <xf numFmtId="0" fontId="98" fillId="0" borderId="1" xfId="0" applyFont="1" applyBorder="1" applyAlignment="1">
      <alignment vertical="center" wrapText="1"/>
    </xf>
    <xf numFmtId="0" fontId="98"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top" wrapText="1"/>
    </xf>
    <xf numFmtId="0" fontId="99" fillId="0" borderId="1" xfId="7" applyFont="1" applyFill="1" applyBorder="1" applyAlignment="1" applyProtection="1">
      <alignment horizontal="left" vertical="center"/>
    </xf>
    <xf numFmtId="0" fontId="0" fillId="0" borderId="1" xfId="0" applyBorder="1" applyAlignment="1">
      <alignment horizontal="left" vertical="center"/>
    </xf>
    <xf numFmtId="0" fontId="99" fillId="0" borderId="1" xfId="7" applyFont="1" applyFill="1" applyBorder="1" applyAlignment="1" applyProtection="1">
      <alignment horizontal="left"/>
    </xf>
    <xf numFmtId="0" fontId="100" fillId="0" borderId="1" xfId="0" applyFont="1" applyBorder="1" applyAlignment="1">
      <alignment horizontal="center" vertical="center" wrapText="1"/>
    </xf>
    <xf numFmtId="0" fontId="101" fillId="0" borderId="1" xfId="7" applyFont="1" applyFill="1" applyBorder="1" applyAlignment="1" applyProtection="1">
      <alignment horizontal="left" vertical="center" wrapText="1"/>
    </xf>
    <xf numFmtId="0" fontId="102" fillId="0" borderId="1" xfId="7" applyFont="1" applyFill="1" applyBorder="1" applyAlignment="1" applyProtection="1">
      <alignment horizontal="left" vertical="center" wrapText="1"/>
    </xf>
    <xf numFmtId="0" fontId="99" fillId="0" borderId="1" xfId="7" applyFont="1" applyFill="1" applyBorder="1" applyAlignment="1" applyProtection="1">
      <alignment horizontal="left" vertical="top" wrapText="1"/>
    </xf>
    <xf numFmtId="0" fontId="99" fillId="0" borderId="1" xfId="7" applyFont="1" applyFill="1" applyBorder="1" applyAlignment="1" applyProtection="1">
      <alignment horizontal="left" vertical="top"/>
    </xf>
    <xf numFmtId="0" fontId="0" fillId="0" borderId="1" xfId="0" applyBorder="1" applyAlignment="1">
      <alignment horizontal="center"/>
    </xf>
    <xf numFmtId="0" fontId="14" fillId="21" borderId="40" xfId="0" applyFont="1" applyFill="1" applyBorder="1" applyAlignment="1" applyProtection="1">
      <alignment horizontal="centerContinuous"/>
      <protection locked="0"/>
    </xf>
    <xf numFmtId="0" fontId="14" fillId="21" borderId="52" xfId="0" applyFont="1" applyFill="1" applyBorder="1" applyAlignment="1" applyProtection="1">
      <alignment horizontal="centerContinuous"/>
      <protection locked="0"/>
    </xf>
    <xf numFmtId="0" fontId="13" fillId="21" borderId="29" xfId="0" applyFont="1" applyFill="1" applyBorder="1" applyAlignment="1">
      <alignment horizontal="centerContinuous" vertical="top"/>
    </xf>
    <xf numFmtId="0" fontId="14" fillId="21" borderId="30" xfId="0" applyFont="1" applyFill="1" applyBorder="1" applyAlignment="1" applyProtection="1">
      <alignment horizontal="centerContinuous" vertical="center"/>
      <protection locked="0"/>
    </xf>
    <xf numFmtId="0" fontId="14" fillId="21" borderId="31" xfId="0" applyFont="1" applyFill="1" applyBorder="1" applyAlignment="1" applyProtection="1">
      <alignment horizontal="centerContinuous" vertical="center"/>
      <protection locked="0"/>
    </xf>
    <xf numFmtId="0" fontId="14" fillId="21" borderId="3" xfId="0" quotePrefix="1" applyFont="1" applyFill="1" applyBorder="1" applyAlignment="1">
      <alignment horizontal="center" vertical="center"/>
    </xf>
    <xf numFmtId="0" fontId="14" fillId="21" borderId="3" xfId="0" applyFont="1" applyFill="1" applyBorder="1" applyAlignment="1">
      <alignment horizontal="center" vertical="center"/>
    </xf>
    <xf numFmtId="0" fontId="13" fillId="21" borderId="3" xfId="0" applyFont="1" applyFill="1" applyBorder="1" applyAlignment="1">
      <alignment vertical="center"/>
    </xf>
    <xf numFmtId="0" fontId="13" fillId="21" borderId="1" xfId="0" applyFont="1" applyFill="1" applyBorder="1" applyAlignment="1">
      <alignment vertical="center"/>
    </xf>
    <xf numFmtId="0" fontId="14" fillId="21" borderId="1" xfId="0" quotePrefix="1" applyFont="1" applyFill="1" applyBorder="1" applyAlignment="1">
      <alignment horizontal="left" vertical="center"/>
    </xf>
    <xf numFmtId="0" fontId="13" fillId="22" borderId="1" xfId="0" applyFont="1" applyFill="1" applyBorder="1" applyAlignment="1">
      <alignment vertical="center"/>
    </xf>
    <xf numFmtId="0" fontId="14" fillId="22" borderId="1" xfId="0" quotePrefix="1" applyFont="1" applyFill="1" applyBorder="1" applyAlignment="1">
      <alignment horizontal="left" vertical="center"/>
    </xf>
    <xf numFmtId="0" fontId="13" fillId="22" borderId="1" xfId="0" quotePrefix="1" applyFont="1" applyFill="1" applyBorder="1" applyAlignment="1">
      <alignment horizontal="left" vertical="center"/>
    </xf>
    <xf numFmtId="0" fontId="14" fillId="22" borderId="1" xfId="0" quotePrefix="1" applyFont="1" applyFill="1" applyBorder="1" applyAlignment="1">
      <alignment horizontal="left" vertical="center" indent="3"/>
    </xf>
    <xf numFmtId="0" fontId="96" fillId="18" borderId="53" xfId="15" applyFont="1" applyFill="1" applyBorder="1" applyAlignment="1">
      <alignment horizontal="center" wrapText="1"/>
    </xf>
    <xf numFmtId="0" fontId="96" fillId="18" borderId="54" xfId="15" applyFont="1" applyFill="1" applyBorder="1" applyAlignment="1">
      <alignment horizontal="center"/>
    </xf>
    <xf numFmtId="0" fontId="96" fillId="18" borderId="54" xfId="15" applyFont="1" applyFill="1" applyBorder="1" applyAlignment="1">
      <alignment horizontal="center" wrapText="1"/>
    </xf>
    <xf numFmtId="0" fontId="19" fillId="11" borderId="25" xfId="15" applyFont="1" applyFill="1" applyBorder="1" applyAlignment="1">
      <alignment horizontal="center"/>
    </xf>
    <xf numFmtId="0" fontId="19" fillId="11" borderId="3" xfId="15" applyFont="1" applyFill="1" applyBorder="1" applyAlignment="1">
      <alignment horizontal="center"/>
    </xf>
    <xf numFmtId="0" fontId="19" fillId="11" borderId="3" xfId="15" applyFont="1" applyFill="1" applyBorder="1" applyAlignment="1">
      <alignment horizontal="center" wrapText="1"/>
    </xf>
    <xf numFmtId="0" fontId="18" fillId="11" borderId="4" xfId="15" applyFill="1" applyBorder="1" applyAlignment="1">
      <alignment horizontal="center"/>
    </xf>
    <xf numFmtId="0" fontId="18" fillId="11" borderId="1" xfId="15" applyFill="1" applyBorder="1" applyAlignment="1">
      <alignment vertical="center"/>
    </xf>
    <xf numFmtId="0" fontId="18" fillId="11" borderId="1" xfId="15" applyFill="1" applyBorder="1" applyAlignment="1">
      <alignment wrapText="1"/>
    </xf>
    <xf numFmtId="0" fontId="18" fillId="11" borderId="1" xfId="15" applyFill="1" applyBorder="1" applyAlignment="1">
      <alignment horizontal="center"/>
    </xf>
    <xf numFmtId="0" fontId="18" fillId="11" borderId="1" xfId="15" applyFill="1" applyBorder="1" applyAlignment="1" applyProtection="1">
      <alignment wrapText="1"/>
      <protection locked="0"/>
    </xf>
    <xf numFmtId="0" fontId="18" fillId="11" borderId="4" xfId="15" applyFill="1" applyBorder="1" applyAlignment="1" applyProtection="1">
      <alignment horizontal="center"/>
      <protection locked="0"/>
    </xf>
    <xf numFmtId="4" fontId="19" fillId="11" borderId="56" xfId="9" applyNumberFormat="1" applyFont="1" applyFill="1" applyBorder="1" applyAlignment="1" applyProtection="1">
      <alignment horizontal="right" wrapText="1"/>
    </xf>
    <xf numFmtId="0" fontId="103" fillId="23" borderId="0" xfId="0" applyFont="1" applyFill="1"/>
    <xf numFmtId="0" fontId="104" fillId="23" borderId="0" xfId="15" applyFont="1" applyFill="1" applyAlignment="1">
      <alignment horizontal="center" wrapText="1"/>
    </xf>
    <xf numFmtId="10" fontId="105" fillId="23" borderId="0" xfId="17" applyNumberFormat="1" applyFont="1" applyFill="1" applyBorder="1"/>
    <xf numFmtId="9" fontId="105" fillId="23" borderId="0" xfId="17" applyFont="1" applyFill="1" applyBorder="1"/>
    <xf numFmtId="0" fontId="106" fillId="23" borderId="0" xfId="15" applyFont="1" applyFill="1" applyAlignment="1">
      <alignment wrapText="1"/>
    </xf>
    <xf numFmtId="0" fontId="106" fillId="23" borderId="0" xfId="15" applyFont="1" applyFill="1" applyAlignment="1">
      <alignment horizontal="center"/>
    </xf>
    <xf numFmtId="170" fontId="104" fillId="23" borderId="0" xfId="17" applyNumberFormat="1" applyFont="1" applyFill="1" applyBorder="1" applyAlignment="1" applyProtection="1">
      <alignment horizontal="right"/>
    </xf>
    <xf numFmtId="0" fontId="106" fillId="23" borderId="0" xfId="15" applyFont="1" applyFill="1" applyAlignment="1">
      <alignment vertical="center"/>
    </xf>
    <xf numFmtId="170" fontId="106" fillId="23" borderId="0" xfId="17" applyNumberFormat="1" applyFont="1" applyFill="1" applyBorder="1" applyAlignment="1" applyProtection="1">
      <alignment horizontal="right"/>
    </xf>
    <xf numFmtId="2" fontId="106" fillId="23" borderId="0" xfId="15" applyNumberFormat="1" applyFont="1" applyFill="1" applyAlignment="1">
      <alignment vertical="center"/>
    </xf>
    <xf numFmtId="0" fontId="106" fillId="23" borderId="0" xfId="15" applyFont="1" applyFill="1" applyAlignment="1" applyProtection="1">
      <alignment wrapText="1"/>
      <protection locked="0"/>
    </xf>
    <xf numFmtId="9" fontId="106" fillId="23" borderId="0" xfId="17" applyFont="1" applyFill="1" applyBorder="1" applyAlignment="1" applyProtection="1">
      <alignment horizontal="right"/>
    </xf>
    <xf numFmtId="177" fontId="106" fillId="23" borderId="0" xfId="17" applyNumberFormat="1" applyFont="1" applyFill="1" applyBorder="1" applyAlignment="1" applyProtection="1">
      <alignment horizontal="right"/>
    </xf>
    <xf numFmtId="10" fontId="106" fillId="23" borderId="0" xfId="17" applyNumberFormat="1" applyFont="1" applyFill="1" applyBorder="1" applyAlignment="1" applyProtection="1">
      <alignment horizontal="right"/>
    </xf>
    <xf numFmtId="172" fontId="18" fillId="9" borderId="1" xfId="2" applyNumberFormat="1" applyFont="1" applyFill="1" applyBorder="1"/>
    <xf numFmtId="172" fontId="18" fillId="11" borderId="1" xfId="2" applyNumberFormat="1" applyFont="1" applyFill="1" applyBorder="1"/>
    <xf numFmtId="0" fontId="11" fillId="21" borderId="3" xfId="0" applyFont="1" applyFill="1" applyBorder="1" applyAlignment="1">
      <alignment horizontal="center" vertical="center" wrapText="1"/>
    </xf>
    <xf numFmtId="168" fontId="0" fillId="0" borderId="0" xfId="0" applyNumberFormat="1"/>
    <xf numFmtId="0" fontId="80" fillId="0" borderId="0" xfId="0" applyFont="1"/>
    <xf numFmtId="0" fontId="78" fillId="0" borderId="1" xfId="0" applyFont="1" applyBorder="1"/>
    <xf numFmtId="0" fontId="107" fillId="24" borderId="1" xfId="0" applyFont="1" applyFill="1" applyBorder="1" applyAlignment="1">
      <alignment horizontal="center" vertical="center"/>
    </xf>
    <xf numFmtId="0" fontId="107" fillId="24" borderId="23" xfId="0" applyFont="1" applyFill="1" applyBorder="1" applyAlignment="1">
      <alignment horizontal="center" vertical="center"/>
    </xf>
    <xf numFmtId="0" fontId="107" fillId="24" borderId="23" xfId="0" applyFont="1" applyFill="1" applyBorder="1" applyAlignment="1">
      <alignment horizontal="left" vertical="center"/>
    </xf>
    <xf numFmtId="9" fontId="0" fillId="0" borderId="0" xfId="0" applyNumberFormat="1"/>
    <xf numFmtId="0" fontId="65" fillId="0" borderId="0" xfId="3" applyFont="1" applyFill="1" applyBorder="1" applyAlignment="1" applyProtection="1">
      <alignment horizontal="left" vertical="center"/>
    </xf>
    <xf numFmtId="4" fontId="9" fillId="0" borderId="0" xfId="0" applyNumberFormat="1" applyFont="1" applyAlignment="1">
      <alignment horizontal="left" vertical="center"/>
    </xf>
    <xf numFmtId="4" fontId="9" fillId="0" borderId="0" xfId="0" applyNumberFormat="1" applyFont="1" applyAlignment="1">
      <alignment vertical="center"/>
    </xf>
    <xf numFmtId="4" fontId="10" fillId="0" borderId="0" xfId="9" applyNumberFormat="1" applyFont="1" applyFill="1" applyBorder="1" applyAlignment="1" applyProtection="1">
      <alignment vertical="center"/>
      <protection locked="0"/>
    </xf>
    <xf numFmtId="0" fontId="65" fillId="0" borderId="94" xfId="1" applyFill="1" applyAlignment="1" applyProtection="1">
      <alignment vertical="center"/>
    </xf>
    <xf numFmtId="3" fontId="10" fillId="0" borderId="0" xfId="0" applyNumberFormat="1" applyFont="1" applyAlignment="1">
      <alignment horizontal="left" vertical="center"/>
    </xf>
    <xf numFmtId="3" fontId="10" fillId="0" borderId="0" xfId="0" applyNumberFormat="1" applyFont="1" applyAlignment="1">
      <alignment horizontal="right" vertical="center"/>
    </xf>
    <xf numFmtId="3" fontId="10" fillId="0" borderId="0" xfId="0" applyNumberFormat="1" applyFont="1" applyAlignment="1">
      <alignment vertical="center"/>
    </xf>
    <xf numFmtId="3" fontId="108" fillId="0" borderId="0" xfId="0" applyNumberFormat="1" applyFont="1" applyAlignment="1" applyProtection="1">
      <alignment vertical="center"/>
      <protection locked="0"/>
    </xf>
    <xf numFmtId="0" fontId="65" fillId="5" borderId="94" xfId="1" applyAlignment="1" applyProtection="1">
      <alignment horizontal="center" vertical="center"/>
    </xf>
    <xf numFmtId="0" fontId="78" fillId="0" borderId="0" xfId="0" applyFont="1"/>
    <xf numFmtId="0" fontId="73" fillId="0" borderId="0" xfId="0" applyFont="1" applyAlignment="1">
      <alignment horizontal="right"/>
    </xf>
    <xf numFmtId="4" fontId="73" fillId="0" borderId="0" xfId="0" applyNumberFormat="1" applyFont="1"/>
    <xf numFmtId="3" fontId="50" fillId="0" borderId="0" xfId="0" applyNumberFormat="1" applyFont="1"/>
    <xf numFmtId="0" fontId="18" fillId="2" borderId="33" xfId="15" applyFill="1" applyBorder="1" applyAlignment="1">
      <alignment horizontal="center"/>
    </xf>
    <xf numFmtId="2" fontId="18" fillId="2" borderId="23" xfId="15" applyNumberFormat="1" applyFill="1" applyBorder="1" applyAlignment="1">
      <alignment vertical="center"/>
    </xf>
    <xf numFmtId="0" fontId="18" fillId="2" borderId="23" xfId="15" applyFill="1" applyBorder="1" applyAlignment="1">
      <alignment wrapText="1"/>
    </xf>
    <xf numFmtId="4" fontId="18" fillId="0" borderId="0" xfId="15" applyNumberFormat="1" applyAlignment="1">
      <alignment horizontal="right"/>
    </xf>
    <xf numFmtId="0" fontId="18" fillId="0" borderId="0" xfId="15" applyAlignment="1">
      <alignment horizontal="center"/>
    </xf>
    <xf numFmtId="2" fontId="18" fillId="0" borderId="0" xfId="15" applyNumberFormat="1" applyAlignment="1">
      <alignment vertical="center"/>
    </xf>
    <xf numFmtId="0" fontId="18" fillId="0" borderId="0" xfId="15" applyAlignment="1">
      <alignment wrapText="1"/>
    </xf>
    <xf numFmtId="0" fontId="18" fillId="11" borderId="26" xfId="15" applyFill="1" applyBorder="1" applyAlignment="1">
      <alignment horizontal="center"/>
    </xf>
    <xf numFmtId="0" fontId="18" fillId="11" borderId="17" xfId="15" applyFill="1" applyBorder="1" applyAlignment="1">
      <alignment wrapText="1"/>
    </xf>
    <xf numFmtId="0" fontId="18" fillId="11" borderId="17" xfId="15" applyFill="1" applyBorder="1" applyAlignment="1">
      <alignment horizontal="center"/>
    </xf>
    <xf numFmtId="0" fontId="18" fillId="2" borderId="32" xfId="15" applyFill="1" applyBorder="1" applyAlignment="1">
      <alignment horizontal="center"/>
    </xf>
    <xf numFmtId="0" fontId="18" fillId="2" borderId="57" xfId="15" applyFill="1" applyBorder="1" applyAlignment="1">
      <alignment horizontal="center"/>
    </xf>
    <xf numFmtId="4" fontId="19" fillId="0" borderId="58" xfId="15" applyNumberFormat="1" applyFont="1" applyBorder="1" applyAlignment="1">
      <alignment horizontal="right"/>
    </xf>
    <xf numFmtId="4" fontId="18" fillId="0" borderId="59" xfId="15" applyNumberFormat="1" applyBorder="1" applyAlignment="1">
      <alignment horizontal="right"/>
    </xf>
    <xf numFmtId="4" fontId="19" fillId="0" borderId="59" xfId="15" applyNumberFormat="1" applyFont="1" applyBorder="1" applyAlignment="1">
      <alignment horizontal="right"/>
    </xf>
    <xf numFmtId="4" fontId="18" fillId="0" borderId="60" xfId="15" applyNumberFormat="1" applyBorder="1" applyAlignment="1">
      <alignment horizontal="right"/>
    </xf>
    <xf numFmtId="0" fontId="106" fillId="0" borderId="0" xfId="14" applyFont="1"/>
    <xf numFmtId="0" fontId="51" fillId="0" borderId="0" xfId="0" applyFont="1"/>
    <xf numFmtId="0" fontId="52" fillId="0" borderId="1" xfId="0" applyFont="1" applyBorder="1" applyAlignment="1">
      <alignment horizontal="center" vertical="center" wrapText="1"/>
    </xf>
    <xf numFmtId="0" fontId="109" fillId="23" borderId="1" xfId="0" applyFont="1" applyFill="1" applyBorder="1"/>
    <xf numFmtId="0" fontId="109" fillId="23" borderId="23" xfId="0" applyFont="1" applyFill="1" applyBorder="1" applyAlignment="1">
      <alignment wrapText="1"/>
    </xf>
    <xf numFmtId="10" fontId="109" fillId="23" borderId="23" xfId="17" applyNumberFormat="1" applyFont="1" applyFill="1" applyBorder="1" applyAlignment="1">
      <alignment wrapText="1"/>
    </xf>
    <xf numFmtId="0" fontId="109" fillId="23" borderId="1" xfId="0" applyFont="1" applyFill="1" applyBorder="1" applyAlignment="1">
      <alignment wrapText="1"/>
    </xf>
    <xf numFmtId="10" fontId="109" fillId="23" borderId="1" xfId="17" applyNumberFormat="1" applyFont="1" applyFill="1" applyBorder="1" applyAlignment="1">
      <alignment wrapText="1"/>
    </xf>
    <xf numFmtId="0" fontId="110" fillId="19" borderId="2" xfId="0" applyFont="1" applyFill="1" applyBorder="1" applyAlignment="1">
      <alignment wrapText="1"/>
    </xf>
    <xf numFmtId="4" fontId="52" fillId="19" borderId="19" xfId="0" applyNumberFormat="1" applyFont="1" applyFill="1" applyBorder="1"/>
    <xf numFmtId="0" fontId="52" fillId="19" borderId="19" xfId="0" applyFont="1" applyFill="1" applyBorder="1"/>
    <xf numFmtId="0" fontId="52" fillId="19" borderId="61" xfId="0" applyFont="1" applyFill="1" applyBorder="1"/>
    <xf numFmtId="9" fontId="52" fillId="19" borderId="61" xfId="17" applyFont="1" applyFill="1" applyBorder="1"/>
    <xf numFmtId="180" fontId="52" fillId="19" borderId="61" xfId="9" applyNumberFormat="1" applyFont="1" applyFill="1" applyBorder="1"/>
    <xf numFmtId="0" fontId="51" fillId="0" borderId="4" xfId="0" applyFont="1" applyBorder="1"/>
    <xf numFmtId="4" fontId="51" fillId="11" borderId="1" xfId="0" applyNumberFormat="1" applyFont="1" applyFill="1" applyBorder="1"/>
    <xf numFmtId="0" fontId="51" fillId="11" borderId="1" xfId="0" applyFont="1" applyFill="1" applyBorder="1"/>
    <xf numFmtId="0" fontId="51" fillId="11" borderId="32" xfId="0" applyFont="1" applyFill="1" applyBorder="1"/>
    <xf numFmtId="9" fontId="51" fillId="11" borderId="32" xfId="17" applyFont="1" applyFill="1" applyBorder="1"/>
    <xf numFmtId="181" fontId="51" fillId="11" borderId="32" xfId="9" applyNumberFormat="1" applyFont="1" applyFill="1" applyBorder="1"/>
    <xf numFmtId="0" fontId="111" fillId="25" borderId="1" xfId="0" applyFont="1" applyFill="1" applyBorder="1" applyAlignment="1">
      <alignment vertical="center" wrapText="1"/>
    </xf>
    <xf numFmtId="0" fontId="51" fillId="25" borderId="1" xfId="0" applyFont="1" applyFill="1" applyBorder="1"/>
    <xf numFmtId="9" fontId="51" fillId="25" borderId="1" xfId="17" applyFont="1" applyFill="1" applyBorder="1"/>
    <xf numFmtId="9" fontId="51" fillId="25" borderId="1" xfId="0" applyNumberFormat="1" applyFont="1" applyFill="1" applyBorder="1"/>
    <xf numFmtId="177" fontId="51" fillId="25" borderId="1" xfId="17" applyNumberFormat="1" applyFont="1" applyFill="1" applyBorder="1"/>
    <xf numFmtId="0" fontId="112" fillId="23" borderId="1" xfId="0" applyFont="1" applyFill="1" applyBorder="1" applyAlignment="1">
      <alignment vertical="center" wrapText="1"/>
    </xf>
    <xf numFmtId="9" fontId="51" fillId="0" borderId="1" xfId="17" applyFont="1" applyBorder="1"/>
    <xf numFmtId="0" fontId="51" fillId="0" borderId="1" xfId="0" applyFont="1" applyBorder="1"/>
    <xf numFmtId="0" fontId="51" fillId="0" borderId="32" xfId="0" applyFont="1" applyBorder="1"/>
    <xf numFmtId="4" fontId="51" fillId="25" borderId="1" xfId="0" applyNumberFormat="1" applyFont="1" applyFill="1" applyBorder="1"/>
    <xf numFmtId="4" fontId="52" fillId="11" borderId="1" xfId="0" applyNumberFormat="1" applyFont="1" applyFill="1" applyBorder="1"/>
    <xf numFmtId="165" fontId="51" fillId="0" borderId="1" xfId="9" applyFont="1" applyBorder="1"/>
    <xf numFmtId="9" fontId="51" fillId="0" borderId="32" xfId="17" applyFont="1" applyBorder="1"/>
    <xf numFmtId="0" fontId="52" fillId="0" borderId="0" xfId="0" applyFont="1"/>
    <xf numFmtId="0" fontId="52" fillId="26" borderId="18" xfId="0" applyFont="1" applyFill="1" applyBorder="1"/>
    <xf numFmtId="0" fontId="51" fillId="26" borderId="4" xfId="0" applyFont="1" applyFill="1" applyBorder="1"/>
    <xf numFmtId="4" fontId="51" fillId="27" borderId="1" xfId="0" applyNumberFormat="1" applyFont="1" applyFill="1" applyBorder="1"/>
    <xf numFmtId="9" fontId="51" fillId="27" borderId="1" xfId="17" applyFont="1" applyFill="1" applyBorder="1"/>
    <xf numFmtId="9" fontId="51" fillId="27" borderId="1" xfId="0" applyNumberFormat="1" applyFont="1" applyFill="1" applyBorder="1"/>
    <xf numFmtId="0" fontId="110" fillId="10" borderId="1" xfId="0" applyFont="1" applyFill="1" applyBorder="1" applyAlignment="1">
      <alignment vertical="center" wrapText="1"/>
    </xf>
    <xf numFmtId="4" fontId="53" fillId="11" borderId="1" xfId="0" applyNumberFormat="1" applyFont="1" applyFill="1" applyBorder="1"/>
    <xf numFmtId="171" fontId="51" fillId="27" borderId="1" xfId="0" applyNumberFormat="1" applyFont="1" applyFill="1" applyBorder="1"/>
    <xf numFmtId="171" fontId="51" fillId="25" borderId="1" xfId="0" applyNumberFormat="1" applyFont="1" applyFill="1" applyBorder="1"/>
    <xf numFmtId="9" fontId="51" fillId="11" borderId="1" xfId="17" applyFont="1" applyFill="1" applyBorder="1"/>
    <xf numFmtId="9" fontId="51" fillId="11" borderId="1" xfId="0" applyNumberFormat="1" applyFont="1" applyFill="1" applyBorder="1"/>
    <xf numFmtId="173" fontId="51" fillId="0" borderId="1" xfId="0" applyNumberFormat="1" applyFont="1" applyBorder="1"/>
    <xf numFmtId="0" fontId="54" fillId="0" borderId="1" xfId="0" applyFont="1" applyBorder="1" applyAlignment="1">
      <alignment horizontal="center" vertical="center" wrapText="1"/>
    </xf>
    <xf numFmtId="0" fontId="113" fillId="18" borderId="1" xfId="0" applyFont="1" applyFill="1" applyBorder="1" applyAlignment="1">
      <alignment horizontal="center" vertical="center" wrapText="1"/>
    </xf>
    <xf numFmtId="0" fontId="113" fillId="28" borderId="1" xfId="0" applyFont="1" applyFill="1" applyBorder="1" applyAlignment="1">
      <alignment horizontal="center" vertical="center" wrapText="1"/>
    </xf>
    <xf numFmtId="0" fontId="78" fillId="29" borderId="25" xfId="0" applyFont="1" applyFill="1" applyBorder="1" applyAlignment="1">
      <alignment wrapText="1"/>
    </xf>
    <xf numFmtId="0" fontId="78" fillId="29" borderId="56" xfId="0" applyFont="1" applyFill="1" applyBorder="1" applyAlignment="1">
      <alignment wrapText="1"/>
    </xf>
    <xf numFmtId="0" fontId="110" fillId="30" borderId="1" xfId="0" applyFont="1" applyFill="1" applyBorder="1" applyAlignment="1">
      <alignment vertical="center" wrapText="1"/>
    </xf>
    <xf numFmtId="0" fontId="51" fillId="31" borderId="4" xfId="0" applyFont="1" applyFill="1" applyBorder="1"/>
    <xf numFmtId="0" fontId="111" fillId="25" borderId="1" xfId="0" applyFont="1" applyFill="1" applyBorder="1" applyAlignment="1">
      <alignment vertical="center"/>
    </xf>
    <xf numFmtId="0" fontId="112" fillId="23" borderId="1" xfId="0" applyFont="1" applyFill="1" applyBorder="1" applyAlignment="1">
      <alignment vertical="center"/>
    </xf>
    <xf numFmtId="0" fontId="112" fillId="23" borderId="32" xfId="0" applyFont="1" applyFill="1" applyBorder="1" applyAlignment="1">
      <alignment vertical="center"/>
    </xf>
    <xf numFmtId="0" fontId="111" fillId="25" borderId="32" xfId="0" applyFont="1" applyFill="1" applyBorder="1" applyAlignment="1">
      <alignment vertical="center"/>
    </xf>
    <xf numFmtId="0" fontId="0" fillId="0" borderId="32" xfId="0" applyBorder="1"/>
    <xf numFmtId="0" fontId="78" fillId="0" borderId="1" xfId="0" applyFont="1" applyBorder="1" applyAlignment="1">
      <alignment horizontal="center"/>
    </xf>
    <xf numFmtId="9" fontId="78" fillId="0" borderId="1" xfId="17" applyFont="1" applyBorder="1"/>
    <xf numFmtId="0" fontId="0" fillId="11" borderId="1" xfId="0" applyFill="1" applyBorder="1"/>
    <xf numFmtId="0" fontId="0" fillId="0" borderId="1" xfId="0" applyBorder="1" applyAlignment="1">
      <alignment horizontal="left"/>
    </xf>
    <xf numFmtId="4" fontId="51" fillId="0" borderId="1" xfId="0" applyNumberFormat="1" applyFont="1" applyBorder="1"/>
    <xf numFmtId="9" fontId="51" fillId="0" borderId="1" xfId="17" applyFont="1" applyFill="1" applyBorder="1"/>
    <xf numFmtId="9" fontId="51" fillId="0" borderId="1" xfId="0" applyNumberFormat="1" applyFont="1" applyBorder="1"/>
    <xf numFmtId="0" fontId="111" fillId="25" borderId="1" xfId="0" applyFont="1" applyFill="1" applyBorder="1" applyAlignment="1">
      <alignment vertical="top"/>
    </xf>
    <xf numFmtId="0" fontId="112" fillId="23" borderId="1" xfId="0" applyFont="1" applyFill="1" applyBorder="1" applyAlignment="1">
      <alignment vertical="top"/>
    </xf>
    <xf numFmtId="173" fontId="0" fillId="0" borderId="1" xfId="0" applyNumberFormat="1" applyBorder="1"/>
    <xf numFmtId="2" fontId="0" fillId="0" borderId="0" xfId="0" applyNumberFormat="1"/>
    <xf numFmtId="4" fontId="51" fillId="0" borderId="0" xfId="0" applyNumberFormat="1" applyFont="1"/>
    <xf numFmtId="182" fontId="51" fillId="0" borderId="1" xfId="9" applyNumberFormat="1" applyFont="1" applyBorder="1"/>
    <xf numFmtId="182" fontId="51" fillId="25" borderId="1" xfId="17" applyNumberFormat="1" applyFont="1" applyFill="1" applyBorder="1"/>
    <xf numFmtId="182" fontId="51" fillId="0" borderId="1" xfId="0" applyNumberFormat="1" applyFont="1" applyBorder="1"/>
    <xf numFmtId="2" fontId="78" fillId="0" borderId="0" xfId="0" applyNumberFormat="1" applyFont="1"/>
    <xf numFmtId="171" fontId="51" fillId="11" borderId="1" xfId="0" applyNumberFormat="1" applyFont="1" applyFill="1" applyBorder="1"/>
    <xf numFmtId="0" fontId="114" fillId="19" borderId="2" xfId="0" applyFont="1" applyFill="1" applyBorder="1" applyAlignment="1">
      <alignment wrapText="1"/>
    </xf>
    <xf numFmtId="4" fontId="55" fillId="19" borderId="19" xfId="0" applyNumberFormat="1" applyFont="1" applyFill="1" applyBorder="1"/>
    <xf numFmtId="0" fontId="55" fillId="19" borderId="19" xfId="0" applyFont="1" applyFill="1" applyBorder="1"/>
    <xf numFmtId="0" fontId="55" fillId="19" borderId="61" xfId="0" applyFont="1" applyFill="1" applyBorder="1"/>
    <xf numFmtId="9" fontId="55" fillId="19" borderId="61" xfId="17" applyFont="1" applyFill="1" applyBorder="1"/>
    <xf numFmtId="0" fontId="0" fillId="23" borderId="0" xfId="0" applyFill="1"/>
    <xf numFmtId="179" fontId="62" fillId="23" borderId="0" xfId="9" applyNumberFormat="1" applyFont="1" applyFill="1"/>
    <xf numFmtId="0" fontId="115" fillId="23" borderId="0" xfId="0" applyFont="1" applyFill="1"/>
    <xf numFmtId="0" fontId="0" fillId="23" borderId="95" xfId="0" applyFill="1" applyBorder="1"/>
    <xf numFmtId="0" fontId="0" fillId="23" borderId="96" xfId="0" applyFill="1" applyBorder="1"/>
    <xf numFmtId="179" fontId="62" fillId="23" borderId="96" xfId="9" applyNumberFormat="1" applyFont="1" applyFill="1" applyBorder="1"/>
    <xf numFmtId="0" fontId="0" fillId="23" borderId="97" xfId="0" applyFill="1" applyBorder="1"/>
    <xf numFmtId="0" fontId="116" fillId="23" borderId="98" xfId="0" applyFont="1" applyFill="1" applyBorder="1" applyAlignment="1">
      <alignment vertical="top" wrapText="1"/>
    </xf>
    <xf numFmtId="0" fontId="116" fillId="23" borderId="99" xfId="0" applyFont="1" applyFill="1" applyBorder="1" applyAlignment="1">
      <alignment vertical="top" wrapText="1"/>
    </xf>
    <xf numFmtId="0" fontId="116" fillId="23" borderId="100" xfId="0" applyFont="1" applyFill="1" applyBorder="1" applyAlignment="1">
      <alignment horizontal="center" vertical="top" wrapText="1"/>
    </xf>
    <xf numFmtId="0" fontId="116" fillId="23" borderId="101" xfId="0" applyFont="1" applyFill="1" applyBorder="1" applyAlignment="1">
      <alignment horizontal="center" vertical="top" wrapText="1"/>
    </xf>
    <xf numFmtId="0" fontId="116" fillId="23" borderId="102" xfId="0" applyFont="1" applyFill="1" applyBorder="1" applyAlignment="1">
      <alignment horizontal="center" vertical="top" wrapText="1"/>
    </xf>
    <xf numFmtId="0" fontId="117" fillId="23" borderId="100" xfId="0" applyFont="1" applyFill="1" applyBorder="1"/>
    <xf numFmtId="0" fontId="118" fillId="0" borderId="100" xfId="0" applyFont="1" applyBorder="1"/>
    <xf numFmtId="0" fontId="51" fillId="0" borderId="100" xfId="0" applyFont="1" applyBorder="1"/>
    <xf numFmtId="2" fontId="51" fillId="23" borderId="100" xfId="9" applyNumberFormat="1" applyFont="1" applyFill="1" applyBorder="1"/>
    <xf numFmtId="2" fontId="51" fillId="0" borderId="100" xfId="9" applyNumberFormat="1" applyFont="1" applyBorder="1"/>
    <xf numFmtId="179" fontId="51" fillId="0" borderId="100" xfId="0" applyNumberFormat="1" applyFont="1" applyBorder="1"/>
    <xf numFmtId="0" fontId="118" fillId="23" borderId="100" xfId="0" applyFont="1" applyFill="1" applyBorder="1"/>
    <xf numFmtId="0" fontId="117" fillId="23" borderId="96" xfId="0" applyFont="1" applyFill="1" applyBorder="1"/>
    <xf numFmtId="0" fontId="118" fillId="23" borderId="96" xfId="0" applyFont="1" applyFill="1" applyBorder="1"/>
    <xf numFmtId="0" fontId="118" fillId="23" borderId="103" xfId="0" applyFont="1" applyFill="1" applyBorder="1"/>
    <xf numFmtId="0" fontId="51" fillId="23" borderId="103" xfId="0" applyFont="1" applyFill="1" applyBorder="1"/>
    <xf numFmtId="2" fontId="51" fillId="23" borderId="103" xfId="9" applyNumberFormat="1" applyFont="1" applyFill="1" applyBorder="1"/>
    <xf numFmtId="0" fontId="118" fillId="23" borderId="104" xfId="0" applyFont="1" applyFill="1" applyBorder="1"/>
    <xf numFmtId="0" fontId="118" fillId="23" borderId="101" xfId="0" applyFont="1" applyFill="1" applyBorder="1"/>
    <xf numFmtId="0" fontId="114" fillId="23" borderId="103" xfId="0" applyFont="1" applyFill="1" applyBorder="1"/>
    <xf numFmtId="2" fontId="111" fillId="0" borderId="100" xfId="0" applyNumberFormat="1" applyFont="1" applyBorder="1"/>
    <xf numFmtId="179" fontId="111" fillId="0" borderId="100" xfId="0" applyNumberFormat="1" applyFont="1" applyBorder="1"/>
    <xf numFmtId="0" fontId="114" fillId="23" borderId="0" xfId="0" applyFont="1" applyFill="1"/>
    <xf numFmtId="179" fontId="114" fillId="23" borderId="0" xfId="9" applyNumberFormat="1" applyFont="1" applyFill="1"/>
    <xf numFmtId="179" fontId="62" fillId="0" borderId="0" xfId="9" applyNumberFormat="1" applyFont="1"/>
    <xf numFmtId="4" fontId="0" fillId="0" borderId="0" xfId="0" applyNumberFormat="1"/>
    <xf numFmtId="2" fontId="114" fillId="23" borderId="0" xfId="0" applyNumberFormat="1" applyFont="1" applyFill="1"/>
    <xf numFmtId="0" fontId="96" fillId="18" borderId="62" xfId="15" applyFont="1" applyFill="1" applyBorder="1" applyAlignment="1">
      <alignment horizontal="center" vertical="top" wrapText="1"/>
    </xf>
    <xf numFmtId="2" fontId="119" fillId="0" borderId="0" xfId="0" applyNumberFormat="1" applyFont="1"/>
    <xf numFmtId="0" fontId="56" fillId="0" borderId="0" xfId="0" applyFont="1"/>
    <xf numFmtId="4" fontId="109" fillId="23" borderId="23" xfId="0" applyNumberFormat="1" applyFont="1" applyFill="1" applyBorder="1"/>
    <xf numFmtId="0" fontId="51" fillId="12" borderId="4" xfId="0" applyFont="1" applyFill="1" applyBorder="1"/>
    <xf numFmtId="0" fontId="118" fillId="19" borderId="101" xfId="0" applyFont="1" applyFill="1" applyBorder="1" applyAlignment="1">
      <alignment vertical="top" wrapText="1"/>
    </xf>
    <xf numFmtId="0" fontId="118" fillId="19" borderId="100" xfId="0" applyFont="1" applyFill="1" applyBorder="1" applyAlignment="1">
      <alignment vertical="top" wrapText="1"/>
    </xf>
    <xf numFmtId="0" fontId="118" fillId="19" borderId="100" xfId="0" applyFont="1" applyFill="1" applyBorder="1" applyAlignment="1">
      <alignment horizontal="center" vertical="top" wrapText="1"/>
    </xf>
    <xf numFmtId="0" fontId="116" fillId="19" borderId="101" xfId="0" applyFont="1" applyFill="1" applyBorder="1" applyAlignment="1">
      <alignment vertical="top" wrapText="1"/>
    </xf>
    <xf numFmtId="0" fontId="116" fillId="19" borderId="103" xfId="0" applyFont="1" applyFill="1" applyBorder="1" applyAlignment="1">
      <alignment vertical="top" wrapText="1"/>
    </xf>
    <xf numFmtId="0" fontId="116" fillId="19" borderId="102" xfId="0" applyFont="1" applyFill="1" applyBorder="1" applyAlignment="1">
      <alignment vertical="top" wrapText="1"/>
    </xf>
    <xf numFmtId="0" fontId="116" fillId="19" borderId="100" xfId="0" applyFont="1" applyFill="1" applyBorder="1" applyAlignment="1">
      <alignment horizontal="center" vertical="top" wrapText="1"/>
    </xf>
    <xf numFmtId="0" fontId="51" fillId="11" borderId="100" xfId="0" applyFont="1" applyFill="1" applyBorder="1"/>
    <xf numFmtId="3" fontId="0" fillId="0" borderId="0" xfId="0" applyNumberFormat="1"/>
    <xf numFmtId="10" fontId="62" fillId="0" borderId="0" xfId="17" applyNumberFormat="1" applyFont="1"/>
    <xf numFmtId="2" fontId="45" fillId="0" borderId="0" xfId="16" applyNumberFormat="1" applyFont="1" applyAlignment="1" applyProtection="1">
      <alignment vertical="top"/>
      <protection locked="0"/>
    </xf>
    <xf numFmtId="1" fontId="72" fillId="0" borderId="0" xfId="0" applyNumberFormat="1" applyFont="1"/>
    <xf numFmtId="0" fontId="78" fillId="0" borderId="0" xfId="0" applyFont="1" applyAlignment="1">
      <alignment horizontal="center"/>
    </xf>
    <xf numFmtId="4" fontId="19" fillId="0" borderId="0" xfId="15" applyNumberFormat="1" applyFont="1" applyAlignment="1">
      <alignment horizontal="right"/>
    </xf>
    <xf numFmtId="4" fontId="19" fillId="0" borderId="0" xfId="9" applyNumberFormat="1" applyFont="1" applyFill="1" applyBorder="1" applyAlignment="1" applyProtection="1">
      <alignment horizontal="right" wrapText="1"/>
    </xf>
    <xf numFmtId="4" fontId="78" fillId="0" borderId="46" xfId="0" applyNumberFormat="1" applyFont="1" applyBorder="1"/>
    <xf numFmtId="10" fontId="78" fillId="0" borderId="0" xfId="17" applyNumberFormat="1" applyFont="1"/>
    <xf numFmtId="1" fontId="0" fillId="0" borderId="0" xfId="0" applyNumberFormat="1"/>
    <xf numFmtId="1" fontId="78" fillId="0" borderId="0" xfId="0" applyNumberFormat="1" applyFont="1"/>
    <xf numFmtId="0" fontId="65" fillId="5" borderId="0" xfId="1" applyBorder="1" applyAlignment="1" applyProtection="1">
      <alignment horizontal="center" vertical="center"/>
    </xf>
    <xf numFmtId="170" fontId="19" fillId="0" borderId="5" xfId="17" applyNumberFormat="1" applyFont="1" applyFill="1" applyBorder="1" applyAlignment="1" applyProtection="1">
      <alignment horizontal="right"/>
    </xf>
    <xf numFmtId="170" fontId="19" fillId="0" borderId="32" xfId="17" applyNumberFormat="1" applyFont="1" applyFill="1" applyBorder="1" applyAlignment="1" applyProtection="1">
      <alignment horizontal="right"/>
    </xf>
    <xf numFmtId="0" fontId="18" fillId="2" borderId="55" xfId="15" applyFill="1" applyBorder="1" applyAlignment="1">
      <alignment horizontal="center"/>
    </xf>
    <xf numFmtId="10" fontId="120" fillId="0" borderId="0" xfId="17" applyNumberFormat="1" applyFont="1"/>
    <xf numFmtId="10" fontId="121" fillId="0" borderId="0" xfId="17" applyNumberFormat="1" applyFont="1"/>
    <xf numFmtId="2" fontId="18" fillId="23" borderId="0" xfId="17" applyNumberFormat="1" applyFont="1" applyFill="1" applyBorder="1" applyAlignment="1" applyProtection="1">
      <alignment horizontal="right"/>
    </xf>
    <xf numFmtId="3" fontId="10" fillId="7" borderId="1" xfId="0" applyNumberFormat="1" applyFont="1" applyFill="1" applyBorder="1" applyAlignment="1">
      <alignment horizontal="center" vertical="center"/>
    </xf>
    <xf numFmtId="2" fontId="23" fillId="0" borderId="7" xfId="0" applyNumberFormat="1" applyFont="1" applyBorder="1" applyAlignment="1">
      <alignment horizontal="center" wrapText="1"/>
    </xf>
    <xf numFmtId="168" fontId="25" fillId="0" borderId="7" xfId="0" applyNumberFormat="1" applyFont="1" applyBorder="1" applyAlignment="1">
      <alignment horizontal="center" wrapText="1"/>
    </xf>
    <xf numFmtId="172" fontId="19" fillId="11" borderId="1" xfId="2" applyNumberFormat="1" applyFont="1" applyFill="1" applyBorder="1"/>
    <xf numFmtId="0" fontId="116" fillId="19" borderId="102" xfId="0" applyFont="1" applyFill="1" applyBorder="1" applyAlignment="1">
      <alignment horizontal="center" vertical="top" wrapText="1"/>
    </xf>
    <xf numFmtId="0" fontId="68" fillId="0" borderId="0" xfId="7"/>
    <xf numFmtId="179" fontId="68" fillId="23" borderId="0" xfId="7" applyNumberFormat="1" applyFill="1"/>
    <xf numFmtId="0" fontId="124" fillId="0" borderId="0" xfId="7" applyFont="1"/>
    <xf numFmtId="0" fontId="118" fillId="0" borderId="101" xfId="0" applyFont="1" applyBorder="1" applyAlignment="1">
      <alignment vertical="top" wrapText="1"/>
    </xf>
    <xf numFmtId="0" fontId="118" fillId="0" borderId="100" xfId="0" applyFont="1" applyBorder="1" applyAlignment="1">
      <alignment vertical="top" wrapText="1"/>
    </xf>
    <xf numFmtId="0" fontId="118" fillId="0" borderId="100" xfId="0" applyFont="1" applyBorder="1" applyAlignment="1">
      <alignment horizontal="center" vertical="top" wrapText="1"/>
    </xf>
    <xf numFmtId="169" fontId="118" fillId="0" borderId="100" xfId="0" applyNumberFormat="1" applyFont="1" applyBorder="1" applyAlignment="1">
      <alignment horizontal="center" vertical="top" wrapText="1"/>
    </xf>
    <xf numFmtId="2" fontId="118" fillId="0" borderId="100" xfId="0" applyNumberFormat="1" applyFont="1" applyBorder="1" applyAlignment="1">
      <alignment horizontal="center" vertical="top" wrapText="1"/>
    </xf>
    <xf numFmtId="168" fontId="118" fillId="0" borderId="100" xfId="0" applyNumberFormat="1" applyFont="1" applyBorder="1" applyAlignment="1">
      <alignment horizontal="center" vertical="top" wrapText="1"/>
    </xf>
    <xf numFmtId="0" fontId="125" fillId="0" borderId="101" xfId="0" applyFont="1" applyBorder="1" applyAlignment="1">
      <alignment vertical="top" wrapText="1"/>
    </xf>
    <xf numFmtId="0" fontId="125" fillId="23" borderId="100" xfId="0" applyFont="1" applyFill="1" applyBorder="1"/>
    <xf numFmtId="0" fontId="125" fillId="0" borderId="100" xfId="0" applyFont="1" applyBorder="1" applyAlignment="1">
      <alignment vertical="top" wrapText="1"/>
    </xf>
    <xf numFmtId="0" fontId="125" fillId="0" borderId="100" xfId="0" applyFont="1" applyBorder="1" applyAlignment="1">
      <alignment horizontal="center" vertical="top" wrapText="1"/>
    </xf>
    <xf numFmtId="2" fontId="125" fillId="0" borderId="100" xfId="0" applyNumberFormat="1" applyFont="1" applyBorder="1" applyAlignment="1">
      <alignment horizontal="center" vertical="top" wrapText="1"/>
    </xf>
    <xf numFmtId="0" fontId="126" fillId="0" borderId="100" xfId="0" applyFont="1" applyBorder="1" applyAlignment="1">
      <alignment vertical="top" wrapText="1"/>
    </xf>
    <xf numFmtId="0" fontId="78" fillId="0" borderId="0" xfId="0" applyFont="1" applyAlignment="1">
      <alignment horizontal="right"/>
    </xf>
    <xf numFmtId="0" fontId="126" fillId="23" borderId="100" xfId="0" applyFont="1" applyFill="1" applyBorder="1"/>
    <xf numFmtId="0" fontId="126" fillId="0" borderId="100" xfId="0" applyFont="1" applyBorder="1" applyAlignment="1">
      <alignment horizontal="center" vertical="top" wrapText="1"/>
    </xf>
    <xf numFmtId="169" fontId="126" fillId="0" borderId="100" xfId="0" applyNumberFormat="1" applyFont="1" applyBorder="1" applyAlignment="1">
      <alignment horizontal="center" vertical="top" wrapText="1"/>
    </xf>
    <xf numFmtId="0" fontId="127" fillId="23" borderId="100" xfId="0" applyFont="1" applyFill="1" applyBorder="1"/>
    <xf numFmtId="0" fontId="127" fillId="0" borderId="100" xfId="0" applyFont="1" applyBorder="1" applyAlignment="1">
      <alignment vertical="top" wrapText="1"/>
    </xf>
    <xf numFmtId="0" fontId="127" fillId="0" borderId="100" xfId="0" applyFont="1" applyBorder="1" applyAlignment="1">
      <alignment horizontal="center" vertical="top" wrapText="1"/>
    </xf>
    <xf numFmtId="169" fontId="127" fillId="0" borderId="100" xfId="0" applyNumberFormat="1" applyFont="1" applyBorder="1" applyAlignment="1">
      <alignment horizontal="center" vertical="top" wrapText="1"/>
    </xf>
    <xf numFmtId="2" fontId="127" fillId="0" borderId="100" xfId="0" applyNumberFormat="1" applyFont="1" applyBorder="1" applyAlignment="1">
      <alignment horizontal="center" vertical="top" wrapText="1"/>
    </xf>
    <xf numFmtId="0" fontId="127" fillId="0" borderId="101" xfId="0" applyFont="1" applyBorder="1" applyAlignment="1">
      <alignment vertical="top" wrapText="1"/>
    </xf>
    <xf numFmtId="4" fontId="118" fillId="0" borderId="100" xfId="0" applyNumberFormat="1" applyFont="1" applyBorder="1" applyAlignment="1">
      <alignment horizontal="center" vertical="top" wrapText="1"/>
    </xf>
    <xf numFmtId="4" fontId="118" fillId="32" borderId="100" xfId="0" applyNumberFormat="1" applyFont="1" applyFill="1" applyBorder="1" applyAlignment="1">
      <alignment horizontal="center" vertical="top" wrapText="1"/>
    </xf>
    <xf numFmtId="168" fontId="128" fillId="0" borderId="100" xfId="0" applyNumberFormat="1" applyFont="1" applyBorder="1" applyAlignment="1">
      <alignment horizontal="center" vertical="top" wrapText="1"/>
    </xf>
    <xf numFmtId="168" fontId="51" fillId="11" borderId="100" xfId="0" applyNumberFormat="1" applyFont="1" applyFill="1" applyBorder="1" applyAlignment="1">
      <alignment horizontal="center" vertical="top" wrapText="1"/>
    </xf>
    <xf numFmtId="0" fontId="51" fillId="11" borderId="100" xfId="0" applyFont="1" applyFill="1" applyBorder="1" applyAlignment="1">
      <alignment horizontal="center" vertical="top" wrapText="1"/>
    </xf>
    <xf numFmtId="0" fontId="118" fillId="19" borderId="103" xfId="0" applyFont="1" applyFill="1" applyBorder="1" applyAlignment="1">
      <alignment vertical="top" wrapText="1"/>
    </xf>
    <xf numFmtId="0" fontId="118" fillId="0" borderId="103" xfId="0" applyFont="1" applyBorder="1" applyAlignment="1">
      <alignment vertical="top" wrapText="1"/>
    </xf>
    <xf numFmtId="0" fontId="125" fillId="0" borderId="103" xfId="0" applyFont="1" applyBorder="1" applyAlignment="1">
      <alignment vertical="top" wrapText="1"/>
    </xf>
    <xf numFmtId="0" fontId="127" fillId="0" borderId="103" xfId="0" applyFont="1" applyBorder="1" applyAlignment="1">
      <alignment vertical="top" wrapText="1"/>
    </xf>
    <xf numFmtId="0" fontId="78" fillId="0" borderId="1" xfId="0" applyFont="1" applyBorder="1" applyAlignment="1">
      <alignment horizontal="right"/>
    </xf>
    <xf numFmtId="169" fontId="128" fillId="19" borderId="100" xfId="0" applyNumberFormat="1" applyFont="1" applyFill="1" applyBorder="1" applyAlignment="1">
      <alignment horizontal="center" vertical="top" wrapText="1"/>
    </xf>
    <xf numFmtId="0" fontId="0" fillId="0" borderId="0" xfId="0" applyAlignment="1">
      <alignment horizontal="center"/>
    </xf>
    <xf numFmtId="0" fontId="73" fillId="0" borderId="0" xfId="0" applyFont="1" applyAlignment="1">
      <alignment horizontal="left" vertical="top" wrapText="1"/>
    </xf>
    <xf numFmtId="0" fontId="116" fillId="0" borderId="0" xfId="0" applyFont="1" applyAlignment="1">
      <alignment horizontal="center" vertical="top" wrapText="1"/>
    </xf>
    <xf numFmtId="0" fontId="118" fillId="0" borderId="0" xfId="0" applyFont="1" applyAlignment="1">
      <alignment horizontal="center" vertical="top" wrapText="1"/>
    </xf>
    <xf numFmtId="169" fontId="128" fillId="0" borderId="0" xfId="0" applyNumberFormat="1" applyFont="1" applyAlignment="1">
      <alignment horizontal="center" vertical="top" wrapText="1"/>
    </xf>
    <xf numFmtId="2" fontId="51" fillId="0" borderId="0" xfId="9" applyNumberFormat="1" applyFont="1" applyFill="1" applyBorder="1"/>
    <xf numFmtId="179" fontId="111" fillId="0" borderId="0" xfId="0" applyNumberFormat="1" applyFont="1"/>
    <xf numFmtId="0" fontId="114" fillId="0" borderId="0" xfId="0" applyFont="1"/>
    <xf numFmtId="174" fontId="0" fillId="0" borderId="1" xfId="0" applyNumberFormat="1" applyBorder="1"/>
    <xf numFmtId="0" fontId="118" fillId="19" borderId="1" xfId="0" applyFont="1" applyFill="1" applyBorder="1" applyAlignment="1">
      <alignment horizontal="center" vertical="top" wrapText="1"/>
    </xf>
    <xf numFmtId="0" fontId="116" fillId="19" borderId="1" xfId="0" applyFont="1" applyFill="1" applyBorder="1" applyAlignment="1">
      <alignment horizontal="center" vertical="center" wrapText="1"/>
    </xf>
    <xf numFmtId="0" fontId="118" fillId="0" borderId="1" xfId="0" applyFont="1" applyBorder="1" applyAlignment="1">
      <alignment vertical="top" wrapText="1"/>
    </xf>
    <xf numFmtId="0" fontId="118" fillId="0" borderId="1" xfId="0" applyFont="1" applyBorder="1" applyAlignment="1">
      <alignment vertical="top"/>
    </xf>
    <xf numFmtId="0" fontId="126" fillId="0" borderId="1" xfId="0" applyFont="1" applyBorder="1" applyAlignment="1">
      <alignment vertical="top"/>
    </xf>
    <xf numFmtId="0" fontId="125" fillId="0" borderId="1" xfId="0" applyFont="1" applyBorder="1" applyAlignment="1">
      <alignment vertical="top" wrapText="1"/>
    </xf>
    <xf numFmtId="0" fontId="125" fillId="0" borderId="1" xfId="0" applyFont="1" applyBorder="1" applyAlignment="1">
      <alignment vertical="top"/>
    </xf>
    <xf numFmtId="0" fontId="127" fillId="0" borderId="1" xfId="0" applyFont="1" applyBorder="1" applyAlignment="1">
      <alignment vertical="top" wrapText="1"/>
    </xf>
    <xf numFmtId="0" fontId="127" fillId="0" borderId="1" xfId="0" applyFont="1" applyBorder="1" applyAlignment="1">
      <alignment vertical="top"/>
    </xf>
    <xf numFmtId="0" fontId="116" fillId="19" borderId="1" xfId="0" applyFont="1" applyFill="1" applyBorder="1" applyAlignment="1">
      <alignment horizontal="center" vertical="top" wrapText="1"/>
    </xf>
    <xf numFmtId="169" fontId="0" fillId="23" borderId="1" xfId="0" applyNumberFormat="1" applyFill="1" applyBorder="1"/>
    <xf numFmtId="169" fontId="0" fillId="0" borderId="1" xfId="0" applyNumberFormat="1" applyBorder="1"/>
    <xf numFmtId="168" fontId="126" fillId="0" borderId="100" xfId="0" applyNumberFormat="1" applyFont="1" applyBorder="1" applyAlignment="1">
      <alignment horizontal="center" vertical="top" wrapText="1"/>
    </xf>
    <xf numFmtId="168" fontId="125" fillId="0" borderId="100" xfId="0" applyNumberFormat="1" applyFont="1" applyBorder="1" applyAlignment="1">
      <alignment horizontal="center" vertical="top" wrapText="1"/>
    </xf>
    <xf numFmtId="168" fontId="127" fillId="0" borderId="100" xfId="0" applyNumberFormat="1" applyFont="1" applyBorder="1" applyAlignment="1">
      <alignment horizontal="center" vertical="top" wrapText="1"/>
    </xf>
    <xf numFmtId="173" fontId="78" fillId="0" borderId="1" xfId="0" applyNumberFormat="1" applyFont="1" applyBorder="1"/>
    <xf numFmtId="0" fontId="116" fillId="23" borderId="98" xfId="0" applyFont="1" applyFill="1" applyBorder="1" applyAlignment="1">
      <alignment horizontal="center" vertical="top" wrapText="1"/>
    </xf>
    <xf numFmtId="169" fontId="0" fillId="0" borderId="1" xfId="0" applyNumberFormat="1" applyBorder="1" applyAlignment="1">
      <alignment horizontal="center"/>
    </xf>
    <xf numFmtId="169" fontId="78" fillId="0" borderId="1" xfId="0" applyNumberFormat="1" applyFont="1" applyBorder="1" applyAlignment="1">
      <alignment horizontal="center"/>
    </xf>
    <xf numFmtId="0" fontId="129" fillId="19" borderId="1" xfId="0" applyFont="1" applyFill="1" applyBorder="1" applyAlignment="1">
      <alignment horizontal="center"/>
    </xf>
    <xf numFmtId="0" fontId="78" fillId="19" borderId="1" xfId="0" applyFont="1" applyFill="1" applyBorder="1" applyAlignment="1">
      <alignment horizontal="right"/>
    </xf>
    <xf numFmtId="179" fontId="68" fillId="23" borderId="96" xfId="7" applyNumberFormat="1" applyFill="1" applyBorder="1"/>
    <xf numFmtId="0" fontId="124" fillId="23" borderId="96" xfId="7" applyFont="1" applyFill="1" applyBorder="1"/>
    <xf numFmtId="170" fontId="62" fillId="0" borderId="0" xfId="17" applyNumberFormat="1" applyFont="1"/>
    <xf numFmtId="3" fontId="18" fillId="0" borderId="7" xfId="0" applyNumberFormat="1" applyFont="1" applyBorder="1"/>
    <xf numFmtId="10" fontId="25" fillId="0" borderId="7" xfId="0" applyNumberFormat="1" applyFont="1" applyBorder="1" applyAlignment="1">
      <alignment horizontal="right" wrapText="1"/>
    </xf>
    <xf numFmtId="10" fontId="23" fillId="0" borderId="7" xfId="0" applyNumberFormat="1" applyFont="1" applyBorder="1" applyAlignment="1">
      <alignment wrapText="1"/>
    </xf>
    <xf numFmtId="170" fontId="72" fillId="0" borderId="1" xfId="17" applyNumberFormat="1" applyFont="1" applyBorder="1"/>
    <xf numFmtId="3" fontId="130" fillId="0" borderId="0" xfId="0" applyNumberFormat="1" applyFont="1" applyAlignment="1">
      <alignment vertical="center"/>
    </xf>
    <xf numFmtId="3" fontId="131" fillId="0" borderId="0" xfId="0" applyNumberFormat="1" applyFont="1"/>
    <xf numFmtId="3" fontId="132" fillId="0" borderId="0" xfId="0" applyNumberFormat="1" applyFont="1" applyAlignment="1">
      <alignment vertical="center"/>
    </xf>
    <xf numFmtId="3" fontId="133" fillId="0" borderId="0" xfId="0" applyNumberFormat="1" applyFont="1" applyAlignment="1">
      <alignment vertical="center" wrapText="1"/>
    </xf>
    <xf numFmtId="3" fontId="134" fillId="0" borderId="0" xfId="0" applyNumberFormat="1" applyFont="1" applyAlignment="1">
      <alignment vertical="center" wrapText="1"/>
    </xf>
    <xf numFmtId="3" fontId="134" fillId="0" borderId="0" xfId="0" applyNumberFormat="1" applyFont="1" applyAlignment="1">
      <alignment vertical="center"/>
    </xf>
    <xf numFmtId="3" fontId="135" fillId="0" borderId="0" xfId="0" applyNumberFormat="1" applyFont="1" applyAlignment="1">
      <alignment vertical="center"/>
    </xf>
    <xf numFmtId="3" fontId="136" fillId="0" borderId="0" xfId="0" applyNumberFormat="1" applyFont="1" applyAlignment="1">
      <alignment horizontal="center" vertical="center"/>
    </xf>
    <xf numFmtId="3" fontId="133" fillId="0" borderId="0" xfId="0" applyNumberFormat="1" applyFont="1" applyAlignment="1">
      <alignment vertical="center"/>
    </xf>
    <xf numFmtId="3" fontId="137" fillId="0" borderId="0" xfId="0" applyNumberFormat="1" applyFont="1" applyAlignment="1">
      <alignment vertical="center"/>
    </xf>
    <xf numFmtId="3" fontId="133" fillId="0" borderId="0" xfId="0" applyNumberFormat="1" applyFont="1" applyAlignment="1">
      <alignment horizontal="right" vertical="center"/>
    </xf>
    <xf numFmtId="3" fontId="135" fillId="0" borderId="0" xfId="0" applyNumberFormat="1" applyFont="1" applyAlignment="1">
      <alignment horizontal="right" vertical="center"/>
    </xf>
    <xf numFmtId="3" fontId="138" fillId="0" borderId="0" xfId="0" applyNumberFormat="1" applyFont="1" applyAlignment="1">
      <alignment vertical="center"/>
    </xf>
    <xf numFmtId="3" fontId="76" fillId="0" borderId="0" xfId="0" applyNumberFormat="1" applyFont="1" applyAlignment="1">
      <alignment horizontal="right" vertical="center"/>
    </xf>
    <xf numFmtId="3" fontId="73" fillId="0" borderId="0" xfId="0" applyNumberFormat="1" applyFont="1"/>
    <xf numFmtId="183" fontId="0" fillId="0" borderId="0" xfId="0" applyNumberFormat="1"/>
    <xf numFmtId="184" fontId="0" fillId="0" borderId="0" xfId="0" applyNumberFormat="1"/>
    <xf numFmtId="3" fontId="57" fillId="14" borderId="1" xfId="0" applyNumberFormat="1" applyFont="1" applyFill="1" applyBorder="1" applyAlignment="1" applyProtection="1">
      <alignment vertical="center"/>
      <protection locked="0"/>
    </xf>
    <xf numFmtId="3" fontId="10" fillId="7" borderId="5" xfId="9" applyNumberFormat="1" applyFont="1" applyFill="1" applyBorder="1" applyAlignment="1" applyProtection="1">
      <alignment vertical="center"/>
    </xf>
    <xf numFmtId="0" fontId="13" fillId="21" borderId="57" xfId="0" quotePrefix="1" applyFont="1" applyFill="1" applyBorder="1" applyAlignment="1">
      <alignment horizontal="centerContinuous" wrapText="1"/>
    </xf>
    <xf numFmtId="1" fontId="71" fillId="0" borderId="105" xfId="0" applyNumberFormat="1" applyFont="1" applyBorder="1"/>
    <xf numFmtId="2" fontId="62" fillId="0" borderId="0" xfId="17" applyNumberFormat="1" applyFont="1"/>
    <xf numFmtId="0" fontId="139" fillId="9" borderId="0" xfId="0" applyFont="1" applyFill="1" applyAlignment="1">
      <alignment horizontal="center" vertical="center"/>
    </xf>
    <xf numFmtId="0" fontId="140" fillId="0" borderId="0" xfId="0" applyFont="1"/>
    <xf numFmtId="0" fontId="23" fillId="4" borderId="7" xfId="13" applyFont="1" applyFill="1" applyBorder="1" applyAlignment="1">
      <alignment horizontal="center" wrapText="1"/>
    </xf>
    <xf numFmtId="0" fontId="78" fillId="0" borderId="1" xfId="13" applyFont="1" applyBorder="1" applyAlignment="1">
      <alignment wrapText="1"/>
    </xf>
    <xf numFmtId="0" fontId="73" fillId="0" borderId="1" xfId="13" applyFont="1" applyBorder="1" applyAlignment="1">
      <alignment wrapText="1"/>
    </xf>
    <xf numFmtId="0" fontId="18" fillId="0" borderId="1" xfId="13" applyBorder="1"/>
    <xf numFmtId="0" fontId="18" fillId="0" borderId="1" xfId="13" applyBorder="1" applyAlignment="1">
      <alignment wrapText="1"/>
    </xf>
    <xf numFmtId="0" fontId="25" fillId="0" borderId="10" xfId="13" applyFont="1" applyBorder="1" applyAlignment="1">
      <alignment horizontal="center" vertical="center" wrapText="1"/>
    </xf>
    <xf numFmtId="0" fontId="78" fillId="19" borderId="1" xfId="13" applyFont="1" applyFill="1" applyBorder="1"/>
    <xf numFmtId="0" fontId="19" fillId="19" borderId="1" xfId="13" applyFont="1" applyFill="1" applyBorder="1" applyAlignment="1">
      <alignment wrapText="1"/>
    </xf>
    <xf numFmtId="0" fontId="73" fillId="0" borderId="1" xfId="13" applyFont="1" applyBorder="1" applyAlignment="1">
      <alignment horizontal="center"/>
    </xf>
    <xf numFmtId="0" fontId="18" fillId="0" borderId="1" xfId="13" applyBorder="1" applyAlignment="1">
      <alignment horizontal="center"/>
    </xf>
    <xf numFmtId="0" fontId="76" fillId="0" borderId="1" xfId="13" applyFont="1" applyBorder="1"/>
    <xf numFmtId="1" fontId="77" fillId="0" borderId="1" xfId="13" applyNumberFormat="1" applyFont="1" applyBorder="1" applyAlignment="1">
      <alignment horizontal="center"/>
    </xf>
    <xf numFmtId="168" fontId="77" fillId="0" borderId="1" xfId="13" applyNumberFormat="1" applyFont="1" applyBorder="1" applyAlignment="1">
      <alignment horizontal="center"/>
    </xf>
    <xf numFmtId="1" fontId="18" fillId="0" borderId="1" xfId="13" applyNumberFormat="1" applyBorder="1" applyAlignment="1">
      <alignment horizontal="center"/>
    </xf>
    <xf numFmtId="1" fontId="18" fillId="0" borderId="1" xfId="13" applyNumberFormat="1" applyBorder="1"/>
    <xf numFmtId="0" fontId="25" fillId="4" borderId="7" xfId="13" applyFont="1" applyFill="1" applyBorder="1" applyAlignment="1">
      <alignment horizontal="left" wrapText="1" indent="1"/>
    </xf>
    <xf numFmtId="0" fontId="25" fillId="0" borderId="7" xfId="13" applyFont="1" applyBorder="1" applyAlignment="1">
      <alignment horizontal="left" wrapText="1" indent="1"/>
    </xf>
    <xf numFmtId="2" fontId="25" fillId="0" borderId="7" xfId="13" applyNumberFormat="1" applyFont="1" applyBorder="1" applyAlignment="1">
      <alignment horizontal="center"/>
    </xf>
    <xf numFmtId="0" fontId="25" fillId="4" borderId="7" xfId="13" applyFont="1" applyFill="1" applyBorder="1" applyAlignment="1">
      <alignment horizontal="right" wrapText="1"/>
    </xf>
    <xf numFmtId="1" fontId="18" fillId="0" borderId="0" xfId="13" applyNumberFormat="1"/>
    <xf numFmtId="169" fontId="25" fillId="0" borderId="7" xfId="13" applyNumberFormat="1" applyFont="1" applyBorder="1" applyAlignment="1">
      <alignment horizontal="right" wrapText="1"/>
    </xf>
    <xf numFmtId="2" fontId="25" fillId="0" borderId="7" xfId="13" applyNumberFormat="1" applyFont="1" applyBorder="1" applyAlignment="1">
      <alignment horizontal="right" wrapText="1"/>
    </xf>
    <xf numFmtId="168" fontId="19" fillId="0" borderId="7" xfId="13" applyNumberFormat="1" applyFont="1" applyBorder="1" applyAlignment="1">
      <alignment horizontal="right"/>
    </xf>
    <xf numFmtId="168" fontId="19" fillId="4" borderId="7" xfId="13" applyNumberFormat="1" applyFont="1" applyFill="1" applyBorder="1" applyAlignment="1">
      <alignment horizontal="right" wrapText="1"/>
    </xf>
    <xf numFmtId="173" fontId="18" fillId="0" borderId="0" xfId="13" applyNumberFormat="1"/>
    <xf numFmtId="2" fontId="18" fillId="0" borderId="0" xfId="13" applyNumberFormat="1"/>
    <xf numFmtId="0" fontId="18" fillId="0" borderId="21" xfId="13" applyBorder="1"/>
    <xf numFmtId="0" fontId="18" fillId="0" borderId="10" xfId="13" applyBorder="1"/>
    <xf numFmtId="0" fontId="18" fillId="11" borderId="17" xfId="15" applyFill="1" applyBorder="1"/>
    <xf numFmtId="0" fontId="13" fillId="0" borderId="0" xfId="0" applyFont="1" applyAlignment="1">
      <alignment vertical="center"/>
    </xf>
    <xf numFmtId="3" fontId="57" fillId="14" borderId="1" xfId="0" applyNumberFormat="1" applyFont="1" applyFill="1" applyBorder="1" applyAlignment="1">
      <alignment vertical="center"/>
    </xf>
    <xf numFmtId="10" fontId="141" fillId="7" borderId="1" xfId="0" applyNumberFormat="1" applyFont="1" applyFill="1" applyBorder="1" applyAlignment="1" applyProtection="1">
      <alignment vertical="center"/>
      <protection locked="0"/>
    </xf>
    <xf numFmtId="0" fontId="142" fillId="17" borderId="46" xfId="16" applyFont="1" applyFill="1" applyBorder="1" applyAlignment="1">
      <alignment vertical="top"/>
    </xf>
    <xf numFmtId="0" fontId="45" fillId="0" borderId="1" xfId="16" applyFont="1" applyBorder="1" applyAlignment="1" applyProtection="1">
      <alignment vertical="top"/>
      <protection locked="0"/>
    </xf>
    <xf numFmtId="0" fontId="14" fillId="0" borderId="1" xfId="16" applyBorder="1" applyAlignment="1" applyProtection="1">
      <alignment vertical="top"/>
      <protection locked="0"/>
    </xf>
    <xf numFmtId="0" fontId="45" fillId="0" borderId="4" xfId="16" applyFont="1" applyBorder="1" applyAlignment="1" applyProtection="1">
      <alignment vertical="top"/>
      <protection locked="0"/>
    </xf>
    <xf numFmtId="0" fontId="14" fillId="0" borderId="4" xfId="16" applyBorder="1" applyAlignment="1" applyProtection="1">
      <alignment vertical="top"/>
      <protection locked="0"/>
    </xf>
    <xf numFmtId="0" fontId="14" fillId="0" borderId="21" xfId="16" applyBorder="1" applyAlignment="1">
      <alignment horizontal="left" vertical="top"/>
    </xf>
    <xf numFmtId="0" fontId="14" fillId="0" borderId="0" xfId="16" applyAlignment="1">
      <alignment horizontal="left" vertical="top"/>
    </xf>
    <xf numFmtId="0" fontId="14" fillId="0" borderId="1" xfId="16" applyBorder="1" applyAlignment="1">
      <alignment horizontal="left" vertical="top"/>
    </xf>
    <xf numFmtId="0" fontId="103" fillId="0" borderId="0" xfId="0" applyFont="1"/>
    <xf numFmtId="10" fontId="105" fillId="0" borderId="0" xfId="17" applyNumberFormat="1" applyFont="1"/>
    <xf numFmtId="0" fontId="143" fillId="0" borderId="21" xfId="0" applyFont="1" applyBorder="1"/>
    <xf numFmtId="0" fontId="144" fillId="0" borderId="42" xfId="13" applyFont="1" applyBorder="1"/>
    <xf numFmtId="0" fontId="144" fillId="0" borderId="37" xfId="13" applyFont="1" applyBorder="1"/>
    <xf numFmtId="0" fontId="144" fillId="0" borderId="7" xfId="13" applyFont="1" applyBorder="1"/>
    <xf numFmtId="0" fontId="18" fillId="0" borderId="5" xfId="14" applyFont="1" applyBorder="1"/>
    <xf numFmtId="0" fontId="145" fillId="17" borderId="46" xfId="16" applyFont="1" applyFill="1" applyBorder="1" applyAlignment="1">
      <alignment vertical="top"/>
    </xf>
    <xf numFmtId="0" fontId="145" fillId="17" borderId="38" xfId="16" applyFont="1" applyFill="1" applyBorder="1" applyAlignment="1">
      <alignment vertical="top"/>
    </xf>
    <xf numFmtId="0" fontId="146" fillId="0" borderId="0" xfId="0" applyFont="1" applyAlignment="1">
      <alignment horizontal="left" vertical="center"/>
    </xf>
    <xf numFmtId="0" fontId="146" fillId="33" borderId="0" xfId="0" applyFont="1" applyFill="1" applyAlignment="1">
      <alignment horizontal="left" vertical="center"/>
    </xf>
    <xf numFmtId="0" fontId="23" fillId="0" borderId="6" xfId="0" applyFont="1" applyBorder="1"/>
    <xf numFmtId="0" fontId="147" fillId="0" borderId="0" xfId="0" applyFont="1"/>
    <xf numFmtId="0" fontId="148" fillId="0" borderId="106" xfId="0" applyFont="1" applyBorder="1" applyAlignment="1">
      <alignment horizontal="left" vertical="top"/>
    </xf>
    <xf numFmtId="0" fontId="148" fillId="0" borderId="107" xfId="0" applyFont="1" applyBorder="1" applyAlignment="1">
      <alignment horizontal="left" vertical="top"/>
    </xf>
    <xf numFmtId="0" fontId="148" fillId="0" borderId="107" xfId="0" applyFont="1" applyBorder="1" applyAlignment="1">
      <alignment horizontal="right" vertical="top"/>
    </xf>
    <xf numFmtId="0" fontId="149" fillId="0" borderId="0" xfId="0" applyFont="1" applyAlignment="1">
      <alignment vertical="top" wrapText="1"/>
    </xf>
    <xf numFmtId="0" fontId="149" fillId="0" borderId="108" xfId="0" applyFont="1" applyBorder="1" applyAlignment="1">
      <alignment vertical="top" wrapText="1"/>
    </xf>
    <xf numFmtId="0" fontId="149" fillId="0" borderId="109" xfId="0" applyFont="1" applyBorder="1" applyAlignment="1">
      <alignment vertical="top" wrapText="1"/>
    </xf>
    <xf numFmtId="0" fontId="149" fillId="0" borderId="110" xfId="0" applyFont="1" applyBorder="1" applyAlignment="1">
      <alignment vertical="top" wrapText="1"/>
    </xf>
    <xf numFmtId="0" fontId="149" fillId="0" borderId="110" xfId="0" applyFont="1" applyBorder="1" applyAlignment="1">
      <alignment horizontal="right" vertical="top" wrapText="1"/>
    </xf>
    <xf numFmtId="0" fontId="95" fillId="27" borderId="32" xfId="3" applyFont="1" applyFill="1" applyBorder="1" applyAlignment="1" applyProtection="1">
      <alignment vertical="center"/>
      <protection locked="0"/>
    </xf>
    <xf numFmtId="0" fontId="95" fillId="27" borderId="65" xfId="3" applyFont="1" applyFill="1" applyBorder="1" applyAlignment="1" applyProtection="1">
      <alignment vertical="center"/>
      <protection locked="0"/>
    </xf>
    <xf numFmtId="0" fontId="95" fillId="27" borderId="55" xfId="3" applyFont="1" applyFill="1" applyBorder="1" applyAlignment="1" applyProtection="1">
      <alignment vertical="center"/>
      <protection locked="0"/>
    </xf>
    <xf numFmtId="0" fontId="65" fillId="18" borderId="94" xfId="1" applyFill="1" applyAlignment="1" applyProtection="1">
      <alignment horizontal="left" vertical="center"/>
    </xf>
    <xf numFmtId="0" fontId="65" fillId="5" borderId="113" xfId="1" applyBorder="1" applyAlignment="1" applyProtection="1">
      <alignment horizontal="left" vertical="center"/>
    </xf>
    <xf numFmtId="3" fontId="57" fillId="14" borderId="1" xfId="9" applyNumberFormat="1" applyFont="1" applyFill="1" applyBorder="1" applyAlignment="1" applyProtection="1">
      <alignment vertical="center"/>
    </xf>
    <xf numFmtId="3" fontId="10" fillId="7" borderId="4" xfId="0" applyNumberFormat="1" applyFont="1" applyFill="1" applyBorder="1" applyAlignment="1">
      <alignment horizontal="left" vertical="center"/>
    </xf>
    <xf numFmtId="3" fontId="64" fillId="6" borderId="26" xfId="3" applyNumberFormat="1" applyBorder="1" applyProtection="1"/>
    <xf numFmtId="2" fontId="72" fillId="0" borderId="0" xfId="0" applyNumberFormat="1" applyFont="1"/>
    <xf numFmtId="2" fontId="64" fillId="6" borderId="24" xfId="3" applyNumberFormat="1" applyBorder="1" applyAlignment="1" applyProtection="1">
      <alignment horizontal="center" vertical="center" wrapText="1"/>
    </xf>
    <xf numFmtId="2" fontId="64" fillId="6" borderId="1" xfId="3" applyNumberFormat="1" applyBorder="1" applyAlignment="1" applyProtection="1">
      <alignment horizontal="center" vertical="center" wrapText="1"/>
    </xf>
    <xf numFmtId="2" fontId="10" fillId="7" borderId="1" xfId="0" applyNumberFormat="1" applyFont="1" applyFill="1" applyBorder="1" applyAlignment="1">
      <alignment horizontal="left" vertical="center"/>
    </xf>
    <xf numFmtId="4" fontId="57" fillId="14" borderId="1" xfId="9" applyNumberFormat="1" applyFont="1" applyFill="1" applyBorder="1" applyAlignment="1" applyProtection="1">
      <alignment vertical="center"/>
      <protection locked="0"/>
    </xf>
    <xf numFmtId="0" fontId="64" fillId="0" borderId="0" xfId="3" applyFill="1" applyBorder="1" applyAlignment="1" applyProtection="1">
      <alignment horizontal="center" vertical="center" wrapText="1"/>
    </xf>
    <xf numFmtId="3" fontId="9" fillId="0" borderId="0" xfId="9" applyNumberFormat="1" applyFont="1" applyFill="1" applyBorder="1" applyAlignment="1" applyProtection="1">
      <alignment vertical="center"/>
      <protection locked="0"/>
    </xf>
    <xf numFmtId="3" fontId="9" fillId="15" borderId="1" xfId="0" applyNumberFormat="1" applyFont="1" applyFill="1" applyBorder="1" applyAlignment="1">
      <alignment vertical="center"/>
    </xf>
    <xf numFmtId="166" fontId="10" fillId="7" borderId="1" xfId="0" applyNumberFormat="1" applyFont="1" applyFill="1" applyBorder="1" applyAlignment="1">
      <alignment horizontal="center" vertical="center"/>
    </xf>
    <xf numFmtId="166" fontId="10" fillId="7" borderId="1" xfId="0" applyNumberFormat="1" applyFont="1" applyFill="1" applyBorder="1" applyAlignment="1">
      <alignment horizontal="left" vertical="center"/>
    </xf>
    <xf numFmtId="166" fontId="64" fillId="6" borderId="1" xfId="3" applyNumberFormat="1" applyBorder="1"/>
    <xf numFmtId="3" fontId="15" fillId="7" borderId="1" xfId="0" applyNumberFormat="1" applyFont="1" applyFill="1" applyBorder="1" applyAlignment="1">
      <alignment horizontal="center" vertical="center"/>
    </xf>
    <xf numFmtId="3" fontId="25" fillId="0" borderId="7" xfId="0" applyNumberFormat="1" applyFont="1" applyBorder="1" applyAlignment="1">
      <alignment horizontal="left" wrapText="1"/>
    </xf>
    <xf numFmtId="0" fontId="23" fillId="4" borderId="50" xfId="0" applyFont="1" applyFill="1" applyBorder="1" applyAlignment="1">
      <alignment horizontal="center" wrapText="1"/>
    </xf>
    <xf numFmtId="0" fontId="29" fillId="0" borderId="50" xfId="0" applyFont="1" applyBorder="1" applyAlignment="1">
      <alignment wrapText="1"/>
    </xf>
    <xf numFmtId="0" fontId="29" fillId="0" borderId="51" xfId="0" applyFont="1" applyBorder="1" applyAlignment="1">
      <alignment wrapText="1"/>
    </xf>
    <xf numFmtId="0" fontId="29" fillId="0" borderId="14" xfId="0" applyFont="1" applyBorder="1" applyAlignment="1">
      <alignment wrapText="1"/>
    </xf>
    <xf numFmtId="0" fontId="23" fillId="0" borderId="7" xfId="0" applyFont="1" applyBorder="1" applyAlignment="1">
      <alignment horizontal="center" wrapText="1"/>
    </xf>
    <xf numFmtId="0" fontId="25" fillId="0" borderId="0" xfId="0" applyFont="1" applyAlignment="1">
      <alignment horizontal="center" wrapText="1"/>
    </xf>
    <xf numFmtId="0" fontId="25" fillId="0" borderId="37" xfId="0" applyFont="1" applyBorder="1" applyAlignment="1">
      <alignment horizontal="center" wrapText="1"/>
    </xf>
    <xf numFmtId="0" fontId="23" fillId="4" borderId="50" xfId="0" applyFont="1" applyFill="1" applyBorder="1" applyAlignment="1">
      <alignment horizontal="center"/>
    </xf>
    <xf numFmtId="4" fontId="25" fillId="0" borderId="7" xfId="0" applyNumberFormat="1" applyFont="1" applyBorder="1" applyAlignment="1">
      <alignment horizontal="left" wrapText="1"/>
    </xf>
    <xf numFmtId="4" fontId="18" fillId="4" borderId="7" xfId="0" applyNumberFormat="1" applyFont="1" applyFill="1" applyBorder="1"/>
    <xf numFmtId="0" fontId="23" fillId="0" borderId="10" xfId="0" applyFont="1" applyBorder="1" applyAlignment="1">
      <alignment horizontal="center" wrapText="1"/>
    </xf>
    <xf numFmtId="4" fontId="25" fillId="0" borderId="7" xfId="0" applyNumberFormat="1" applyFont="1" applyBorder="1" applyAlignment="1">
      <alignment horizontal="center" wrapText="1"/>
    </xf>
    <xf numFmtId="0" fontId="80" fillId="0" borderId="0" xfId="0" applyFont="1" applyAlignment="1">
      <alignment horizontal="center"/>
    </xf>
    <xf numFmtId="0" fontId="25" fillId="0" borderId="13" xfId="0" applyFont="1" applyBorder="1" applyAlignment="1">
      <alignment horizontal="center" vertical="center"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3" fillId="0" borderId="50" xfId="0" applyFont="1" applyBorder="1" applyAlignment="1">
      <alignment horizontal="center" wrapText="1"/>
    </xf>
    <xf numFmtId="169" fontId="25" fillId="0" borderId="7" xfId="0" applyNumberFormat="1" applyFont="1" applyBorder="1" applyAlignment="1">
      <alignment horizontal="center" wrapText="1"/>
    </xf>
    <xf numFmtId="0" fontId="23" fillId="0" borderId="66" xfId="0" applyFont="1" applyBorder="1" applyAlignment="1">
      <alignment horizontal="center" wrapText="1"/>
    </xf>
    <xf numFmtId="169" fontId="25" fillId="0" borderId="6" xfId="0" applyNumberFormat="1" applyFont="1" applyBorder="1" applyAlignment="1">
      <alignment horizontal="center" wrapText="1"/>
    </xf>
    <xf numFmtId="168" fontId="25" fillId="0" borderId="6" xfId="0" applyNumberFormat="1" applyFont="1" applyBorder="1" applyAlignment="1">
      <alignment horizontal="center" wrapText="1"/>
    </xf>
    <xf numFmtId="4" fontId="18" fillId="4" borderId="6" xfId="0" applyNumberFormat="1" applyFont="1" applyFill="1" applyBorder="1"/>
    <xf numFmtId="0" fontId="23" fillId="0" borderId="7" xfId="0" applyFont="1" applyBorder="1" applyAlignment="1">
      <alignment horizontal="center" vertical="top" wrapText="1"/>
    </xf>
    <xf numFmtId="0" fontId="88" fillId="0" borderId="0" xfId="16" applyFont="1" applyAlignment="1">
      <alignment vertical="top"/>
    </xf>
    <xf numFmtId="0" fontId="14" fillId="0" borderId="1" xfId="0" applyFont="1" applyBorder="1" applyAlignment="1">
      <alignment vertical="center"/>
    </xf>
    <xf numFmtId="0" fontId="87" fillId="8" borderId="1" xfId="0" applyFont="1" applyFill="1" applyBorder="1" applyAlignment="1">
      <alignment vertical="center" wrapText="1"/>
    </xf>
    <xf numFmtId="0" fontId="87" fillId="8" borderId="1" xfId="0" applyFont="1" applyFill="1" applyBorder="1" applyAlignment="1">
      <alignment vertical="center"/>
    </xf>
    <xf numFmtId="0" fontId="142" fillId="0" borderId="0" xfId="16" applyFont="1" applyAlignment="1">
      <alignment vertical="top"/>
    </xf>
    <xf numFmtId="0" fontId="23" fillId="4" borderId="51" xfId="0" applyFont="1" applyFill="1" applyBorder="1" applyAlignment="1">
      <alignment horizontal="center"/>
    </xf>
    <xf numFmtId="0" fontId="23" fillId="4" borderId="38" xfId="0" applyFont="1" applyFill="1" applyBorder="1" applyAlignment="1">
      <alignment horizontal="right" wrapText="1" indent="1"/>
    </xf>
    <xf numFmtId="0" fontId="23" fillId="4" borderId="67" xfId="0" applyFont="1" applyFill="1" applyBorder="1" applyAlignment="1">
      <alignment wrapText="1"/>
    </xf>
    <xf numFmtId="0" fontId="23" fillId="4" borderId="68" xfId="0" applyFont="1" applyFill="1" applyBorder="1" applyAlignment="1">
      <alignment wrapText="1"/>
    </xf>
    <xf numFmtId="3" fontId="25" fillId="0" borderId="14" xfId="0" applyNumberFormat="1" applyFont="1" applyBorder="1"/>
    <xf numFmtId="0" fontId="25" fillId="0" borderId="14" xfId="0" applyFont="1" applyBorder="1" applyAlignment="1">
      <alignment wrapText="1"/>
    </xf>
    <xf numFmtId="0" fontId="25" fillId="0" borderId="37" xfId="0" applyFont="1" applyBorder="1" applyAlignment="1">
      <alignment horizontal="center" vertical="center" wrapText="1"/>
    </xf>
    <xf numFmtId="0" fontId="14" fillId="0" borderId="27" xfId="0" applyFont="1" applyBorder="1" applyAlignment="1">
      <alignment vertical="center"/>
    </xf>
    <xf numFmtId="0" fontId="23" fillId="4" borderId="50" xfId="0" applyFont="1" applyFill="1" applyBorder="1" applyAlignment="1">
      <alignment wrapText="1"/>
    </xf>
    <xf numFmtId="0" fontId="23" fillId="4" borderId="51" xfId="0" applyFont="1" applyFill="1" applyBorder="1" applyAlignment="1">
      <alignment wrapText="1"/>
    </xf>
    <xf numFmtId="0" fontId="23" fillId="4" borderId="14" xfId="0" applyFont="1" applyFill="1" applyBorder="1" applyAlignment="1">
      <alignment wrapText="1"/>
    </xf>
    <xf numFmtId="0" fontId="23" fillId="0" borderId="0" xfId="0" applyFont="1" applyAlignment="1">
      <alignment wrapText="1"/>
    </xf>
    <xf numFmtId="0" fontId="25" fillId="0" borderId="0" xfId="0" applyFont="1" applyAlignment="1">
      <alignment horizontal="center" vertical="center" wrapText="1"/>
    </xf>
    <xf numFmtId="0" fontId="25" fillId="0" borderId="15" xfId="0" applyFont="1" applyBorder="1" applyAlignment="1">
      <alignment horizontal="center" vertical="top" wrapText="1"/>
    </xf>
    <xf numFmtId="0" fontId="25" fillId="0" borderId="13" xfId="0" applyFont="1" applyBorder="1" applyAlignment="1">
      <alignment horizontal="center" wrapText="1"/>
    </xf>
    <xf numFmtId="0" fontId="25" fillId="0" borderId="6" xfId="0" applyFont="1" applyBorder="1" applyAlignment="1">
      <alignment horizontal="center" wrapText="1"/>
    </xf>
    <xf numFmtId="0" fontId="23" fillId="0" borderId="6" xfId="0" applyFont="1" applyBorder="1" applyAlignment="1">
      <alignment horizontal="center" wrapText="1"/>
    </xf>
    <xf numFmtId="0" fontId="23" fillId="4" borderId="15" xfId="0" applyFont="1" applyFill="1" applyBorder="1" applyAlignment="1">
      <alignment wrapText="1"/>
    </xf>
    <xf numFmtId="0" fontId="23" fillId="0" borderId="6" xfId="0" applyFont="1" applyBorder="1" applyAlignment="1">
      <alignment horizontal="center" vertical="top" wrapText="1"/>
    </xf>
    <xf numFmtId="0" fontId="25" fillId="34" borderId="14" xfId="0" applyFont="1" applyFill="1" applyBorder="1" applyAlignment="1">
      <alignment wrapText="1"/>
    </xf>
    <xf numFmtId="0" fontId="25" fillId="34" borderId="7" xfId="0" applyFont="1" applyFill="1" applyBorder="1" applyAlignment="1">
      <alignment wrapText="1"/>
    </xf>
    <xf numFmtId="3" fontId="22" fillId="0" borderId="7" xfId="0" applyNumberFormat="1" applyFont="1" applyBorder="1" applyAlignment="1">
      <alignment horizontal="right" wrapText="1"/>
    </xf>
    <xf numFmtId="0" fontId="65" fillId="6" borderId="1" xfId="3" applyFont="1" applyBorder="1" applyAlignment="1" applyProtection="1">
      <alignment horizontal="center" vertical="center"/>
    </xf>
    <xf numFmtId="0" fontId="65" fillId="6" borderId="0" xfId="3" applyFont="1" applyBorder="1" applyAlignment="1" applyProtection="1">
      <alignment horizontal="left" vertical="center"/>
    </xf>
    <xf numFmtId="0" fontId="65" fillId="6" borderId="32" xfId="3" applyFont="1" applyBorder="1" applyAlignment="1" applyProtection="1">
      <alignment horizontal="left" vertical="center"/>
    </xf>
    <xf numFmtId="0" fontId="72" fillId="0" borderId="1" xfId="0" applyFont="1" applyBorder="1"/>
    <xf numFmtId="170" fontId="57" fillId="7" borderId="1" xfId="17" applyNumberFormat="1" applyFont="1" applyFill="1" applyBorder="1" applyAlignment="1" applyProtection="1">
      <alignment vertical="center"/>
      <protection locked="0"/>
    </xf>
    <xf numFmtId="3" fontId="57" fillId="7" borderId="1" xfId="9" applyNumberFormat="1" applyFont="1" applyFill="1" applyBorder="1" applyAlignment="1" applyProtection="1">
      <alignment vertical="center"/>
      <protection locked="0"/>
    </xf>
    <xf numFmtId="4" fontId="57" fillId="7" borderId="34" xfId="0" applyNumberFormat="1" applyFont="1" applyFill="1" applyBorder="1" applyAlignment="1">
      <alignment horizontal="left" vertical="center"/>
    </xf>
    <xf numFmtId="3" fontId="57" fillId="7" borderId="1" xfId="0" applyNumberFormat="1" applyFont="1" applyFill="1" applyBorder="1" applyAlignment="1">
      <alignment horizontal="left" vertical="center"/>
    </xf>
    <xf numFmtId="3" fontId="57" fillId="35" borderId="1" xfId="0" applyNumberFormat="1" applyFont="1" applyFill="1" applyBorder="1" applyAlignment="1" applyProtection="1">
      <alignment vertical="center"/>
      <protection locked="0"/>
    </xf>
    <xf numFmtId="0" fontId="65" fillId="6" borderId="40" xfId="3" applyFont="1" applyBorder="1" applyAlignment="1" applyProtection="1">
      <alignment vertical="center"/>
    </xf>
    <xf numFmtId="0" fontId="65" fillId="6" borderId="30" xfId="3" applyFont="1" applyBorder="1" applyAlignment="1" applyProtection="1">
      <alignment vertical="center"/>
    </xf>
    <xf numFmtId="0" fontId="23" fillId="4" borderId="69" xfId="0" applyFont="1" applyFill="1" applyBorder="1" applyAlignment="1">
      <alignment horizontal="center" wrapText="1"/>
    </xf>
    <xf numFmtId="0" fontId="25" fillId="0" borderId="6" xfId="0" applyFont="1" applyBorder="1" applyAlignment="1">
      <alignment horizontal="center" vertical="top" wrapText="1"/>
    </xf>
    <xf numFmtId="4" fontId="10" fillId="7" borderId="0" xfId="0" applyNumberFormat="1" applyFont="1" applyFill="1" applyAlignment="1" applyProtection="1">
      <alignment vertical="center"/>
      <protection locked="0"/>
    </xf>
    <xf numFmtId="3" fontId="23" fillId="0" borderId="6" xfId="0" applyNumberFormat="1" applyFont="1" applyBorder="1" applyAlignment="1">
      <alignment horizontal="right" wrapText="1"/>
    </xf>
    <xf numFmtId="3" fontId="22" fillId="0" borderId="6" xfId="0" applyNumberFormat="1" applyFont="1" applyBorder="1" applyAlignment="1">
      <alignment horizontal="right" wrapText="1"/>
    </xf>
    <xf numFmtId="0" fontId="60" fillId="0" borderId="15" xfId="0" applyFont="1" applyBorder="1" applyAlignment="1">
      <alignment horizontal="center" vertical="top" wrapText="1"/>
    </xf>
    <xf numFmtId="0" fontId="22" fillId="0" borderId="15" xfId="0" applyFont="1" applyBorder="1" applyAlignment="1">
      <alignment horizontal="center" wrapText="1"/>
    </xf>
    <xf numFmtId="0" fontId="147" fillId="0" borderId="0" xfId="0" applyFont="1" applyAlignment="1">
      <alignment horizontal="center"/>
    </xf>
    <xf numFmtId="3" fontId="23" fillId="29" borderId="7" xfId="0" applyNumberFormat="1" applyFont="1" applyFill="1" applyBorder="1" applyAlignment="1">
      <alignment horizontal="right" wrapText="1"/>
    </xf>
    <xf numFmtId="3" fontId="0" fillId="0" borderId="70" xfId="0" applyNumberFormat="1" applyBorder="1"/>
    <xf numFmtId="3" fontId="0" fillId="0" borderId="60" xfId="0" applyNumberFormat="1" applyBorder="1"/>
    <xf numFmtId="0" fontId="75" fillId="0" borderId="0" xfId="0" applyFont="1"/>
    <xf numFmtId="0" fontId="73" fillId="0" borderId="53" xfId="0" applyFont="1" applyBorder="1"/>
    <xf numFmtId="0" fontId="73" fillId="0" borderId="54" xfId="0" applyFont="1" applyBorder="1"/>
    <xf numFmtId="0" fontId="73" fillId="0" borderId="54" xfId="0" applyFont="1" applyBorder="1" applyAlignment="1">
      <alignment wrapText="1"/>
    </xf>
    <xf numFmtId="0" fontId="75" fillId="19" borderId="23" xfId="0" applyFont="1" applyFill="1" applyBorder="1"/>
    <xf numFmtId="0" fontId="75" fillId="19" borderId="23" xfId="0" applyFont="1" applyFill="1" applyBorder="1" applyAlignment="1">
      <alignment horizontal="center"/>
    </xf>
    <xf numFmtId="0" fontId="0" fillId="0" borderId="62" xfId="0" applyBorder="1"/>
    <xf numFmtId="0" fontId="73" fillId="0" borderId="26" xfId="0" applyFont="1" applyBorder="1"/>
    <xf numFmtId="0" fontId="73" fillId="0" borderId="17" xfId="0" applyFont="1" applyBorder="1" applyAlignment="1">
      <alignment wrapText="1"/>
    </xf>
    <xf numFmtId="0" fontId="0" fillId="0" borderId="22" xfId="0" applyBorder="1"/>
    <xf numFmtId="2" fontId="73" fillId="0" borderId="49" xfId="0" applyNumberFormat="1" applyFont="1" applyBorder="1"/>
    <xf numFmtId="0" fontId="73" fillId="0" borderId="2" xfId="0" applyFont="1" applyBorder="1" applyAlignment="1">
      <alignment horizontal="center"/>
    </xf>
    <xf numFmtId="0" fontId="73" fillId="0" borderId="1" xfId="0" applyFont="1" applyBorder="1" applyAlignment="1">
      <alignment horizontal="center"/>
    </xf>
    <xf numFmtId="0" fontId="73" fillId="0" borderId="17" xfId="0" applyFont="1" applyBorder="1" applyAlignment="1">
      <alignment horizontal="center"/>
    </xf>
    <xf numFmtId="0" fontId="0" fillId="0" borderId="71" xfId="0" applyBorder="1"/>
    <xf numFmtId="0" fontId="73" fillId="0" borderId="49" xfId="0" applyFont="1" applyBorder="1" applyAlignment="1">
      <alignment horizontal="center"/>
    </xf>
    <xf numFmtId="0" fontId="73" fillId="0" borderId="0" xfId="0" applyFont="1" applyAlignment="1">
      <alignment horizontal="center"/>
    </xf>
    <xf numFmtId="0" fontId="91" fillId="0" borderId="0" xfId="0" applyFont="1"/>
    <xf numFmtId="0" fontId="0" fillId="0" borderId="59" xfId="0" applyBorder="1"/>
    <xf numFmtId="1" fontId="73" fillId="0" borderId="2" xfId="0" applyNumberFormat="1" applyFont="1" applyBorder="1" applyAlignment="1">
      <alignment horizontal="center"/>
    </xf>
    <xf numFmtId="3" fontId="0" fillId="0" borderId="59" xfId="0" applyNumberFormat="1" applyBorder="1"/>
    <xf numFmtId="3" fontId="147" fillId="9" borderId="60" xfId="0" applyNumberFormat="1" applyFont="1" applyFill="1" applyBorder="1"/>
    <xf numFmtId="0" fontId="150" fillId="0" borderId="20" xfId="0" applyFont="1" applyBorder="1" applyAlignment="1">
      <alignment wrapText="1"/>
    </xf>
    <xf numFmtId="0" fontId="0" fillId="0" borderId="59" xfId="0" applyBorder="1" applyAlignment="1">
      <alignment horizontal="center"/>
    </xf>
    <xf numFmtId="0" fontId="23" fillId="4" borderId="14" xfId="0" applyFont="1" applyFill="1" applyBorder="1" applyAlignment="1">
      <alignment horizontal="center" wrapText="1"/>
    </xf>
    <xf numFmtId="168" fontId="73" fillId="0" borderId="2" xfId="0" applyNumberFormat="1" applyFont="1" applyBorder="1" applyAlignment="1">
      <alignment horizontal="center"/>
    </xf>
    <xf numFmtId="0" fontId="73" fillId="0" borderId="2" xfId="0" applyFont="1" applyBorder="1" applyAlignment="1">
      <alignment wrapText="1"/>
    </xf>
    <xf numFmtId="171" fontId="14" fillId="0" borderId="1" xfId="0" applyNumberFormat="1" applyFont="1" applyBorder="1" applyAlignment="1">
      <alignment horizontal="right" vertical="center"/>
    </xf>
    <xf numFmtId="3" fontId="160" fillId="20" borderId="7" xfId="0" applyNumberFormat="1" applyFont="1" applyFill="1" applyBorder="1" applyAlignment="1">
      <alignment horizontal="right" wrapText="1"/>
    </xf>
    <xf numFmtId="3" fontId="23" fillId="0" borderId="7" xfId="0" applyNumberFormat="1" applyFont="1" applyBorder="1" applyAlignment="1">
      <alignment horizontal="right" vertical="center" wrapText="1"/>
    </xf>
    <xf numFmtId="3" fontId="96" fillId="18" borderId="7" xfId="0" applyNumberFormat="1" applyFont="1" applyFill="1" applyBorder="1" applyAlignment="1">
      <alignment horizontal="right" wrapText="1"/>
    </xf>
    <xf numFmtId="186" fontId="19" fillId="11" borderId="1" xfId="2" applyNumberFormat="1" applyFont="1" applyFill="1" applyBorder="1"/>
    <xf numFmtId="172" fontId="22" fillId="11" borderId="1" xfId="2" applyNumberFormat="1" applyFont="1" applyFill="1" applyBorder="1" applyAlignment="1">
      <alignment horizontal="center" wrapText="1"/>
    </xf>
    <xf numFmtId="0" fontId="18" fillId="11" borderId="17" xfId="15" applyFill="1" applyBorder="1" applyAlignment="1">
      <alignment vertical="center"/>
    </xf>
    <xf numFmtId="170" fontId="19" fillId="0" borderId="22" xfId="17" applyNumberFormat="1" applyFont="1" applyFill="1" applyBorder="1" applyAlignment="1" applyProtection="1">
      <alignment horizontal="right"/>
    </xf>
    <xf numFmtId="0" fontId="38" fillId="0" borderId="0" xfId="12" applyFont="1"/>
    <xf numFmtId="0" fontId="161" fillId="0" borderId="0" xfId="21" applyAlignment="1">
      <alignment vertical="center"/>
    </xf>
    <xf numFmtId="0" fontId="14" fillId="0" borderId="0" xfId="22" applyFont="1">
      <alignment horizontal="right"/>
    </xf>
    <xf numFmtId="0" fontId="163" fillId="0" borderId="0" xfId="23" applyFont="1"/>
    <xf numFmtId="0" fontId="14" fillId="0" borderId="37" xfId="24" applyBorder="1" applyAlignment="1">
      <alignment vertical="center"/>
    </xf>
    <xf numFmtId="2" fontId="13" fillId="41" borderId="16" xfId="24" applyNumberFormat="1" applyFont="1" applyFill="1" applyBorder="1" applyAlignment="1">
      <alignment horizontal="left" vertical="center"/>
    </xf>
    <xf numFmtId="2" fontId="13" fillId="41" borderId="74" xfId="24" applyNumberFormat="1" applyFont="1" applyFill="1" applyBorder="1" applyAlignment="1">
      <alignment horizontal="center" vertical="center"/>
    </xf>
    <xf numFmtId="2" fontId="13" fillId="41" borderId="19" xfId="24" quotePrefix="1" applyNumberFormat="1" applyFont="1" applyFill="1" applyBorder="1" applyAlignment="1" applyProtection="1">
      <alignment horizontal="center" vertical="center"/>
      <protection locked="0"/>
    </xf>
    <xf numFmtId="2" fontId="13" fillId="41" borderId="19" xfId="24" applyNumberFormat="1" applyFont="1" applyFill="1" applyBorder="1" applyAlignment="1" applyProtection="1">
      <alignment horizontal="center" vertical="center"/>
      <protection locked="0"/>
    </xf>
    <xf numFmtId="2" fontId="13" fillId="41" borderId="61" xfId="24" applyNumberFormat="1" applyFont="1" applyFill="1" applyBorder="1" applyAlignment="1" applyProtection="1">
      <alignment horizontal="center" vertical="center"/>
      <protection locked="0"/>
    </xf>
    <xf numFmtId="2" fontId="13" fillId="41" borderId="20" xfId="24" applyNumberFormat="1" applyFont="1" applyFill="1" applyBorder="1" applyAlignment="1" applyProtection="1">
      <alignment horizontal="center" vertical="center"/>
      <protection locked="0"/>
    </xf>
    <xf numFmtId="0" fontId="13" fillId="41" borderId="70" xfId="25" applyNumberFormat="1" applyFill="1" applyBorder="1" applyAlignment="1">
      <alignment horizontal="center" vertical="center" wrapText="1"/>
    </xf>
    <xf numFmtId="2" fontId="13" fillId="41" borderId="11" xfId="24" applyNumberFormat="1" applyFont="1" applyFill="1" applyBorder="1" applyAlignment="1">
      <alignment horizontal="left" vertical="center"/>
    </xf>
    <xf numFmtId="0" fontId="13" fillId="41" borderId="121" xfId="24" applyFont="1" applyFill="1" applyBorder="1" applyAlignment="1">
      <alignment horizontal="centerContinuous" vertical="center"/>
    </xf>
    <xf numFmtId="0" fontId="13" fillId="41" borderId="8" xfId="24" applyFont="1" applyFill="1" applyBorder="1" applyAlignment="1">
      <alignment horizontal="centerContinuous" vertical="center"/>
    </xf>
    <xf numFmtId="0" fontId="13" fillId="41" borderId="122" xfId="24" applyFont="1" applyFill="1" applyBorder="1" applyAlignment="1">
      <alignment horizontal="centerContinuous" vertical="center"/>
    </xf>
    <xf numFmtId="0" fontId="13" fillId="41" borderId="6" xfId="25" applyFill="1" applyBorder="1" applyProtection="1">
      <alignment horizontal="left" vertical="center"/>
    </xf>
    <xf numFmtId="0" fontId="13" fillId="41" borderId="70" xfId="25" applyFill="1" applyBorder="1" applyProtection="1">
      <alignment horizontal="left" vertical="center"/>
    </xf>
    <xf numFmtId="0" fontId="13" fillId="42" borderId="74" xfId="25" applyFill="1" applyBorder="1" applyProtection="1">
      <alignment horizontal="left" vertical="center"/>
    </xf>
    <xf numFmtId="2" fontId="13" fillId="42" borderId="19" xfId="26" applyNumberFormat="1" applyFont="1" applyBorder="1" applyAlignment="1">
      <alignment horizontal="right" vertical="center"/>
    </xf>
    <xf numFmtId="0" fontId="14" fillId="42" borderId="61" xfId="27" applyBorder="1"/>
    <xf numFmtId="0" fontId="14" fillId="42" borderId="36" xfId="27" applyBorder="1"/>
    <xf numFmtId="0" fontId="14" fillId="41" borderId="59" xfId="28" applyFont="1" applyFill="1" applyBorder="1">
      <alignment horizontal="left" vertical="center" indent="2"/>
    </xf>
    <xf numFmtId="0" fontId="13" fillId="42" borderId="31" xfId="25" applyFill="1" applyBorder="1" applyProtection="1">
      <alignment horizontal="left" vertical="center"/>
    </xf>
    <xf numFmtId="0" fontId="14" fillId="41" borderId="2" xfId="24" applyFill="1" applyBorder="1" applyAlignment="1">
      <alignment horizontal="right" vertical="center"/>
    </xf>
    <xf numFmtId="2" fontId="13" fillId="42" borderId="2" xfId="26" applyNumberFormat="1" applyFont="1" applyBorder="1" applyAlignment="1">
      <alignment horizontal="right" vertical="center"/>
    </xf>
    <xf numFmtId="0" fontId="14" fillId="42" borderId="29" xfId="27" applyBorder="1"/>
    <xf numFmtId="0" fontId="14" fillId="41" borderId="58" xfId="24" applyFill="1" applyBorder="1" applyAlignment="1">
      <alignment horizontal="right" vertical="center"/>
    </xf>
    <xf numFmtId="0" fontId="165" fillId="41" borderId="59" xfId="28" applyFont="1" applyFill="1" applyBorder="1" applyAlignment="1">
      <alignment horizontal="left" vertical="center" indent="4"/>
    </xf>
    <xf numFmtId="0" fontId="165" fillId="42" borderId="31" xfId="28" applyFont="1" applyFill="1" applyBorder="1" applyAlignment="1">
      <alignment horizontal="left" vertical="center" indent="4"/>
    </xf>
    <xf numFmtId="0" fontId="14" fillId="42" borderId="2" xfId="26" applyFont="1" applyBorder="1" applyAlignment="1">
      <alignment horizontal="right" vertical="center"/>
    </xf>
    <xf numFmtId="2" fontId="14" fillId="42" borderId="1" xfId="26" applyNumberFormat="1" applyFont="1" applyBorder="1" applyAlignment="1">
      <alignment horizontal="right" vertical="center"/>
    </xf>
    <xf numFmtId="0" fontId="14" fillId="42" borderId="32" xfId="27" applyBorder="1"/>
    <xf numFmtId="0" fontId="14" fillId="42" borderId="5" xfId="27"/>
    <xf numFmtId="0" fontId="14" fillId="42" borderId="58" xfId="26" applyFont="1" applyBorder="1" applyAlignment="1">
      <alignment horizontal="right" vertical="center"/>
    </xf>
    <xf numFmtId="0" fontId="14" fillId="41" borderId="59" xfId="29" applyFont="1" applyFill="1" applyBorder="1">
      <alignment horizontal="left" vertical="center" indent="5"/>
    </xf>
    <xf numFmtId="0" fontId="14" fillId="42" borderId="31" xfId="29" applyFont="1" applyFill="1" applyBorder="1">
      <alignment horizontal="left" vertical="center" indent="5"/>
    </xf>
    <xf numFmtId="0" fontId="14" fillId="43" borderId="2" xfId="24" applyFill="1" applyBorder="1" applyAlignment="1">
      <alignment horizontal="right" vertical="center"/>
    </xf>
    <xf numFmtId="0" fontId="14" fillId="43" borderId="58" xfId="24" applyFill="1" applyBorder="1" applyAlignment="1">
      <alignment horizontal="right" vertical="center"/>
    </xf>
    <xf numFmtId="0" fontId="14" fillId="42" borderId="31" xfId="28" applyFont="1" applyFill="1" applyBorder="1">
      <alignment horizontal="left" vertical="center" indent="2"/>
    </xf>
    <xf numFmtId="0" fontId="14" fillId="41" borderId="59" xfId="29" applyFont="1" applyFill="1" applyBorder="1" applyAlignment="1">
      <alignment horizontal="left" vertical="center" indent="7"/>
    </xf>
    <xf numFmtId="0" fontId="14" fillId="41" borderId="60" xfId="28" applyFont="1" applyFill="1" applyBorder="1">
      <alignment horizontal="left" vertical="center" indent="2"/>
    </xf>
    <xf numFmtId="0" fontId="14" fillId="42" borderId="123" xfId="28" applyFont="1" applyFill="1" applyBorder="1">
      <alignment horizontal="left" vertical="center" indent="2"/>
    </xf>
    <xf numFmtId="2" fontId="14" fillId="42" borderId="17" xfId="26" applyNumberFormat="1" applyFont="1" applyBorder="1" applyAlignment="1">
      <alignment horizontal="right" vertical="center"/>
    </xf>
    <xf numFmtId="0" fontId="14" fillId="42" borderId="71" xfId="27" applyBorder="1"/>
    <xf numFmtId="0" fontId="14" fillId="42" borderId="22" xfId="27" applyBorder="1"/>
    <xf numFmtId="0" fontId="13" fillId="41" borderId="58" xfId="25" applyFill="1" applyBorder="1" applyProtection="1">
      <alignment horizontal="left" vertical="center"/>
    </xf>
    <xf numFmtId="0" fontId="13" fillId="42" borderId="2" xfId="26" applyFont="1" applyBorder="1" applyAlignment="1">
      <alignment horizontal="right" vertical="center"/>
    </xf>
    <xf numFmtId="0" fontId="14" fillId="42" borderId="1" xfId="30"/>
    <xf numFmtId="0" fontId="14" fillId="44" borderId="26" xfId="28" applyFont="1" applyFill="1" applyBorder="1" applyAlignment="1">
      <alignment horizontal="left" vertical="center" indent="4"/>
    </xf>
    <xf numFmtId="0" fontId="14" fillId="44" borderId="17" xfId="24" applyFill="1" applyBorder="1" applyAlignment="1">
      <alignment horizontal="right" vertical="center"/>
    </xf>
    <xf numFmtId="0" fontId="14" fillId="44" borderId="17" xfId="30" applyFill="1" applyBorder="1"/>
    <xf numFmtId="0" fontId="14" fillId="44" borderId="22" xfId="27" applyFill="1" applyBorder="1"/>
    <xf numFmtId="0" fontId="14" fillId="44" borderId="6" xfId="24" applyFill="1" applyBorder="1" applyAlignment="1">
      <alignment horizontal="right" vertical="center"/>
    </xf>
    <xf numFmtId="2" fontId="13" fillId="41" borderId="70" xfId="24" applyNumberFormat="1" applyFont="1" applyFill="1" applyBorder="1" applyAlignment="1">
      <alignment horizontal="left" vertical="center"/>
    </xf>
    <xf numFmtId="2" fontId="13" fillId="42" borderId="74" xfId="24" applyNumberFormat="1" applyFont="1" applyFill="1" applyBorder="1" applyAlignment="1">
      <alignment vertical="center"/>
    </xf>
    <xf numFmtId="2" fontId="13" fillId="42" borderId="54" xfId="26" applyNumberFormat="1" applyFont="1" applyBorder="1" applyAlignment="1">
      <alignment horizontal="right" vertical="center"/>
    </xf>
    <xf numFmtId="2" fontId="13" fillId="41" borderId="59" xfId="24" applyNumberFormat="1" applyFont="1" applyFill="1" applyBorder="1" applyAlignment="1">
      <alignment horizontal="left" vertical="center"/>
    </xf>
    <xf numFmtId="2" fontId="13" fillId="42" borderId="55" xfId="24" applyNumberFormat="1" applyFont="1" applyFill="1" applyBorder="1" applyAlignment="1">
      <alignment vertical="center"/>
    </xf>
    <xf numFmtId="0" fontId="14" fillId="0" borderId="1" xfId="31">
      <alignment horizontal="right" vertical="center"/>
    </xf>
    <xf numFmtId="0" fontId="14" fillId="41" borderId="1" xfId="31" applyFill="1">
      <alignment horizontal="right" vertical="center"/>
    </xf>
    <xf numFmtId="0" fontId="14" fillId="3" borderId="32" xfId="32" applyFill="1" applyBorder="1">
      <alignment horizontal="right" vertical="center"/>
    </xf>
    <xf numFmtId="0" fontId="14" fillId="41" borderId="59" xfId="29" applyFont="1" applyFill="1" applyBorder="1" applyAlignment="1">
      <alignment horizontal="left" vertical="center" wrapText="1" indent="5"/>
    </xf>
    <xf numFmtId="0" fontId="14" fillId="3" borderId="5" xfId="32" applyFill="1">
      <alignment horizontal="right" vertical="center"/>
    </xf>
    <xf numFmtId="0" fontId="13" fillId="41" borderId="59" xfId="25" applyFill="1" applyBorder="1" applyProtection="1">
      <alignment horizontal="left" vertical="center"/>
    </xf>
    <xf numFmtId="0" fontId="14" fillId="42" borderId="1" xfId="31" applyFill="1">
      <alignment horizontal="right" vertical="center"/>
    </xf>
    <xf numFmtId="0" fontId="14" fillId="42" borderId="32" xfId="32" applyFill="1" applyBorder="1">
      <alignment horizontal="right" vertical="center"/>
    </xf>
    <xf numFmtId="0" fontId="14" fillId="42" borderId="5" xfId="32" applyFill="1">
      <alignment horizontal="right" vertical="center"/>
    </xf>
    <xf numFmtId="2" fontId="13" fillId="41" borderId="13" xfId="24" applyNumberFormat="1" applyFont="1" applyFill="1" applyBorder="1" applyAlignment="1">
      <alignment horizontal="left" vertical="center"/>
    </xf>
    <xf numFmtId="0" fontId="13" fillId="41" borderId="60" xfId="25" applyFill="1" applyBorder="1" applyProtection="1">
      <alignment horizontal="left" vertical="center"/>
    </xf>
    <xf numFmtId="2" fontId="13" fillId="41" borderId="129" xfId="24" applyNumberFormat="1" applyFont="1" applyFill="1" applyBorder="1" applyAlignment="1">
      <alignment horizontal="left" vertical="center"/>
    </xf>
    <xf numFmtId="0" fontId="13" fillId="0" borderId="17" xfId="24" applyFont="1" applyBorder="1" applyAlignment="1">
      <alignment horizontal="right" vertical="center"/>
    </xf>
    <xf numFmtId="0" fontId="13" fillId="0" borderId="71" xfId="24" applyFont="1" applyBorder="1" applyAlignment="1">
      <alignment horizontal="right" vertical="center"/>
    </xf>
    <xf numFmtId="0" fontId="13" fillId="0" borderId="22" xfId="24" applyFont="1" applyBorder="1" applyAlignment="1">
      <alignment horizontal="right" vertical="center"/>
    </xf>
    <xf numFmtId="0" fontId="13" fillId="41" borderId="60" xfId="24" applyFont="1" applyFill="1" applyBorder="1" applyAlignment="1">
      <alignment horizontal="right" vertical="center"/>
    </xf>
    <xf numFmtId="0" fontId="38" fillId="0" borderId="0" xfId="33" applyFont="1" applyBorder="1"/>
    <xf numFmtId="0" fontId="168" fillId="0" borderId="0" xfId="12" applyFont="1" applyAlignment="1" applyProtection="1">
      <alignment vertical="center"/>
      <protection locked="0"/>
    </xf>
    <xf numFmtId="0" fontId="38" fillId="0" borderId="0" xfId="12" applyFont="1" applyAlignment="1" applyProtection="1">
      <alignment vertical="center"/>
      <protection locked="0"/>
    </xf>
    <xf numFmtId="2" fontId="168" fillId="0" borderId="0" xfId="12" applyNumberFormat="1" applyFont="1" applyAlignment="1" applyProtection="1">
      <alignment horizontal="left" vertical="center"/>
      <protection locked="0"/>
    </xf>
    <xf numFmtId="2" fontId="17" fillId="0" borderId="0" xfId="12" applyNumberFormat="1" applyFont="1" applyAlignment="1" applyProtection="1">
      <alignment horizontal="left" vertical="center"/>
      <protection locked="0"/>
    </xf>
    <xf numFmtId="0" fontId="17" fillId="41" borderId="46" xfId="24" applyFont="1" applyFill="1" applyBorder="1" applyAlignment="1">
      <alignment vertical="center"/>
    </xf>
    <xf numFmtId="0" fontId="38" fillId="41" borderId="38" xfId="24" applyFont="1" applyFill="1" applyBorder="1" applyAlignment="1">
      <alignment vertical="center"/>
    </xf>
    <xf numFmtId="0" fontId="38" fillId="41" borderId="39" xfId="24" applyFont="1" applyFill="1" applyBorder="1" applyAlignment="1">
      <alignment vertical="center"/>
    </xf>
    <xf numFmtId="0" fontId="38" fillId="41" borderId="21" xfId="24" applyFont="1" applyFill="1" applyBorder="1" applyAlignment="1" applyProtection="1">
      <alignment vertical="center"/>
      <protection locked="0"/>
    </xf>
    <xf numFmtId="0" fontId="38" fillId="41" borderId="0" xfId="24" applyFont="1" applyFill="1" applyAlignment="1" applyProtection="1">
      <alignment vertical="center"/>
      <protection locked="0"/>
    </xf>
    <xf numFmtId="0" fontId="38" fillId="41" borderId="10" xfId="24" applyFont="1" applyFill="1" applyBorder="1" applyAlignment="1" applyProtection="1">
      <alignment vertical="center"/>
      <protection locked="0"/>
    </xf>
    <xf numFmtId="0" fontId="38" fillId="41" borderId="47" xfId="24" applyFont="1" applyFill="1" applyBorder="1" applyAlignment="1" applyProtection="1">
      <alignment vertical="center"/>
      <protection locked="0"/>
    </xf>
    <xf numFmtId="0" fontId="38" fillId="41" borderId="30" xfId="24" applyFont="1" applyFill="1" applyBorder="1" applyAlignment="1" applyProtection="1">
      <alignment vertical="center"/>
      <protection locked="0"/>
    </xf>
    <xf numFmtId="0" fontId="38" fillId="41" borderId="130" xfId="24" applyFont="1" applyFill="1" applyBorder="1" applyAlignment="1" applyProtection="1">
      <alignment vertical="center"/>
      <protection locked="0"/>
    </xf>
    <xf numFmtId="0" fontId="14" fillId="0" borderId="42" xfId="34" applyFont="1" applyBorder="1" applyAlignment="1">
      <alignment horizontal="left" vertical="top"/>
    </xf>
    <xf numFmtId="0" fontId="14" fillId="0" borderId="37" xfId="34" applyFont="1" applyBorder="1" applyAlignment="1">
      <alignment horizontal="left" vertical="top"/>
    </xf>
    <xf numFmtId="0" fontId="14" fillId="0" borderId="7" xfId="34" applyFont="1" applyBorder="1" applyAlignment="1">
      <alignment horizontal="left" vertical="top"/>
    </xf>
    <xf numFmtId="2" fontId="14" fillId="41" borderId="2" xfId="24" applyNumberFormat="1" applyFill="1" applyBorder="1" applyAlignment="1">
      <alignment horizontal="right" vertical="center"/>
    </xf>
    <xf numFmtId="2" fontId="13" fillId="41" borderId="2" xfId="24" applyNumberFormat="1" applyFont="1" applyFill="1" applyBorder="1" applyAlignment="1">
      <alignment horizontal="right" vertical="center"/>
    </xf>
    <xf numFmtId="2" fontId="14" fillId="41" borderId="124" xfId="24" applyNumberFormat="1" applyFill="1" applyBorder="1" applyAlignment="1">
      <alignment horizontal="right" vertical="center"/>
    </xf>
    <xf numFmtId="169" fontId="14" fillId="41" borderId="2" xfId="24" applyNumberFormat="1" applyFill="1" applyBorder="1" applyAlignment="1">
      <alignment horizontal="right" vertical="center"/>
    </xf>
    <xf numFmtId="4" fontId="14" fillId="41" borderId="2" xfId="24" applyNumberFormat="1" applyFill="1" applyBorder="1" applyAlignment="1">
      <alignment horizontal="right" vertical="center"/>
    </xf>
    <xf numFmtId="171" fontId="14" fillId="41" borderId="2" xfId="24" applyNumberFormat="1" applyFill="1" applyBorder="1" applyAlignment="1">
      <alignment horizontal="right" vertical="center"/>
    </xf>
    <xf numFmtId="2"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center" vertical="center"/>
    </xf>
    <xf numFmtId="171" fontId="13" fillId="41" borderId="2" xfId="24" applyNumberFormat="1" applyFont="1" applyFill="1" applyBorder="1" applyAlignment="1">
      <alignment horizontal="right" vertical="center"/>
    </xf>
    <xf numFmtId="169" fontId="13" fillId="45" borderId="17" xfId="24" applyNumberFormat="1" applyFont="1" applyFill="1" applyBorder="1" applyAlignment="1">
      <alignment horizontal="right" vertical="center"/>
    </xf>
    <xf numFmtId="171"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right" vertical="center"/>
    </xf>
    <xf numFmtId="169" fontId="14" fillId="41" borderId="1" xfId="31" applyNumberFormat="1" applyFill="1">
      <alignment horizontal="right" vertical="center"/>
    </xf>
    <xf numFmtId="169" fontId="13" fillId="41" borderId="1" xfId="31" applyNumberFormat="1" applyFont="1" applyFill="1">
      <alignment horizontal="right" vertical="center"/>
    </xf>
    <xf numFmtId="169" fontId="13" fillId="41" borderId="55" xfId="25" applyNumberFormat="1" applyFill="1" applyBorder="1" applyAlignment="1" applyProtection="1">
      <alignment horizontal="center" vertical="center"/>
    </xf>
    <xf numFmtId="171" fontId="13" fillId="41" borderId="123" xfId="25" applyNumberFormat="1" applyFill="1" applyBorder="1" applyAlignment="1" applyProtection="1">
      <alignment horizontal="center" vertical="center"/>
    </xf>
    <xf numFmtId="171" fontId="13" fillId="0" borderId="3" xfId="0" applyNumberFormat="1" applyFont="1" applyBorder="1" applyAlignment="1">
      <alignment horizontal="right" vertical="center"/>
    </xf>
    <xf numFmtId="171" fontId="13" fillId="0" borderId="1" xfId="0" applyNumberFormat="1" applyFont="1" applyBorder="1" applyAlignment="1" applyProtection="1">
      <alignment horizontal="right" vertical="center"/>
      <protection locked="0"/>
    </xf>
    <xf numFmtId="171" fontId="13" fillId="0" borderId="1" xfId="0" applyNumberFormat="1" applyFont="1" applyBorder="1" applyAlignment="1">
      <alignment horizontal="right" vertical="center"/>
    </xf>
    <xf numFmtId="169" fontId="14" fillId="3" borderId="1" xfId="31" applyNumberFormat="1" applyFill="1">
      <alignment horizontal="right" vertical="center"/>
    </xf>
    <xf numFmtId="169" fontId="13" fillId="41" borderId="124" xfId="24" applyNumberFormat="1" applyFont="1" applyFill="1" applyBorder="1" applyAlignment="1">
      <alignment horizontal="center" vertical="center"/>
    </xf>
    <xf numFmtId="0" fontId="163" fillId="0" borderId="0" xfId="23" applyFont="1" applyFill="1" applyAlignment="1">
      <alignment vertical="center"/>
    </xf>
    <xf numFmtId="0" fontId="14" fillId="0" borderId="0" xfId="24" applyAlignment="1">
      <alignment vertical="center"/>
    </xf>
    <xf numFmtId="0" fontId="14" fillId="0" borderId="0" xfId="12" applyFont="1"/>
    <xf numFmtId="0" fontId="13" fillId="0" borderId="0" xfId="24" applyFont="1" applyAlignment="1">
      <alignment vertical="center"/>
    </xf>
    <xf numFmtId="0" fontId="13" fillId="46" borderId="53" xfId="24" applyFont="1" applyFill="1" applyBorder="1" applyAlignment="1">
      <alignment horizontal="left" vertical="center" wrapText="1"/>
    </xf>
    <xf numFmtId="0" fontId="13" fillId="46" borderId="61" xfId="24" applyFont="1" applyFill="1" applyBorder="1" applyAlignment="1">
      <alignment horizontal="centerContinuous" vertical="center"/>
    </xf>
    <xf numFmtId="0" fontId="13" fillId="46" borderId="72" xfId="24" applyFont="1" applyFill="1" applyBorder="1" applyAlignment="1">
      <alignment horizontal="centerContinuous" vertical="center"/>
    </xf>
    <xf numFmtId="0" fontId="13" fillId="46" borderId="74" xfId="24" applyFont="1" applyFill="1" applyBorder="1" applyAlignment="1">
      <alignment horizontal="centerContinuous" vertical="center"/>
    </xf>
    <xf numFmtId="0" fontId="13" fillId="46" borderId="61" xfId="24" applyFont="1" applyFill="1" applyBorder="1" applyAlignment="1">
      <alignment horizontal="center" vertical="center" wrapText="1"/>
    </xf>
    <xf numFmtId="0" fontId="13" fillId="46" borderId="20" xfId="24" applyFont="1" applyFill="1" applyBorder="1" applyAlignment="1">
      <alignment horizontal="center" vertical="center" wrapText="1"/>
    </xf>
    <xf numFmtId="0" fontId="13" fillId="46" borderId="46" xfId="24" applyFont="1" applyFill="1" applyBorder="1" applyAlignment="1">
      <alignment vertical="center"/>
    </xf>
    <xf numFmtId="0" fontId="13" fillId="46" borderId="131" xfId="24" applyFont="1" applyFill="1" applyBorder="1" applyAlignment="1">
      <alignment vertical="center"/>
    </xf>
    <xf numFmtId="0" fontId="13" fillId="46" borderId="54" xfId="24" applyFont="1" applyFill="1" applyBorder="1" applyAlignment="1">
      <alignment horizontal="center" vertical="center" wrapText="1"/>
    </xf>
    <xf numFmtId="0" fontId="13" fillId="46" borderId="62" xfId="24" applyFont="1" applyFill="1" applyBorder="1" applyAlignment="1">
      <alignment horizontal="center" vertical="center" wrapText="1"/>
    </xf>
    <xf numFmtId="0" fontId="13" fillId="46" borderId="48" xfId="24" applyFont="1" applyFill="1" applyBorder="1" applyAlignment="1">
      <alignment horizontal="left" vertical="center"/>
    </xf>
    <xf numFmtId="0" fontId="13" fillId="46" borderId="27" xfId="24" applyFont="1" applyFill="1" applyBorder="1" applyAlignment="1">
      <alignment horizontal="center" vertical="center"/>
    </xf>
    <xf numFmtId="0" fontId="13" fillId="46" borderId="27" xfId="24" applyFont="1" applyFill="1" applyBorder="1" applyAlignment="1">
      <alignment horizontal="center" vertical="center" wrapText="1"/>
    </xf>
    <xf numFmtId="0" fontId="13" fillId="46" borderId="49" xfId="24" applyFont="1" applyFill="1" applyBorder="1" applyAlignment="1">
      <alignment horizontal="center" vertical="center" wrapText="1"/>
    </xf>
    <xf numFmtId="0" fontId="13" fillId="46" borderId="132" xfId="24" applyFont="1" applyFill="1" applyBorder="1" applyAlignment="1">
      <alignment horizontal="center" vertical="center"/>
    </xf>
    <xf numFmtId="0" fontId="13" fillId="46" borderId="21" xfId="24" applyFont="1" applyFill="1" applyBorder="1" applyAlignment="1">
      <alignment vertical="center"/>
    </xf>
    <xf numFmtId="0" fontId="13" fillId="46" borderId="28" xfId="24" applyFont="1" applyFill="1" applyBorder="1" applyAlignment="1">
      <alignment vertical="center"/>
    </xf>
    <xf numFmtId="0" fontId="13" fillId="46" borderId="132" xfId="24" applyFont="1" applyFill="1" applyBorder="1" applyAlignment="1">
      <alignment horizontal="center" vertical="center" wrapText="1"/>
    </xf>
    <xf numFmtId="0" fontId="166" fillId="46" borderId="66" xfId="24" applyFont="1" applyFill="1" applyBorder="1" applyAlignment="1">
      <alignment horizontal="center" vertical="center" wrapText="1"/>
    </xf>
    <xf numFmtId="0" fontId="13" fillId="46" borderId="133" xfId="24" applyFont="1" applyFill="1" applyBorder="1" applyAlignment="1">
      <alignment horizontal="center" vertical="center" wrapText="1"/>
    </xf>
    <xf numFmtId="0" fontId="13" fillId="46" borderId="134" xfId="24" applyFont="1" applyFill="1" applyBorder="1" applyAlignment="1">
      <alignment horizontal="center" vertical="center"/>
    </xf>
    <xf numFmtId="0" fontId="13" fillId="46" borderId="133" xfId="24" applyFont="1" applyFill="1" applyBorder="1" applyAlignment="1">
      <alignment horizontal="center" vertical="center"/>
    </xf>
    <xf numFmtId="0" fontId="13" fillId="46" borderId="135" xfId="24" applyFont="1" applyFill="1" applyBorder="1" applyAlignment="1">
      <alignment horizontal="center" vertical="center"/>
    </xf>
    <xf numFmtId="0" fontId="13" fillId="46" borderId="42" xfId="24" applyFont="1" applyFill="1" applyBorder="1" applyAlignment="1">
      <alignment horizontal="left" vertical="center" wrapText="1"/>
    </xf>
    <xf numFmtId="0" fontId="13" fillId="46" borderId="123" xfId="24" applyFont="1" applyFill="1" applyBorder="1" applyAlignment="1">
      <alignment horizontal="left" vertical="center" wrapText="1"/>
    </xf>
    <xf numFmtId="0" fontId="13" fillId="46" borderId="124" xfId="24" applyFont="1" applyFill="1" applyBorder="1" applyAlignment="1">
      <alignment horizontal="center" vertical="center" wrapText="1"/>
    </xf>
    <xf numFmtId="0" fontId="13" fillId="46" borderId="136" xfId="24" applyFont="1" applyFill="1" applyBorder="1" applyAlignment="1">
      <alignment horizontal="center" vertical="center" wrapText="1"/>
    </xf>
    <xf numFmtId="0" fontId="14" fillId="46" borderId="34" xfId="24" applyFill="1" applyBorder="1" applyAlignment="1">
      <alignment horizontal="left" vertical="center"/>
    </xf>
    <xf numFmtId="3" fontId="14" fillId="42" borderId="2" xfId="26" applyNumberFormat="1" applyFont="1" applyBorder="1" applyAlignment="1" applyProtection="1">
      <alignment horizontal="right" vertical="center"/>
      <protection locked="0"/>
    </xf>
    <xf numFmtId="0" fontId="14" fillId="46" borderId="32" xfId="36" applyFont="1" applyBorder="1">
      <alignment horizontal="right" vertical="center"/>
    </xf>
    <xf numFmtId="0" fontId="14" fillId="46" borderId="4" xfId="24" applyFill="1" applyBorder="1" applyAlignment="1">
      <alignment horizontal="left" vertical="center" wrapText="1"/>
    </xf>
    <xf numFmtId="0" fontId="14" fillId="46" borderId="1" xfId="24" applyFill="1" applyBorder="1" applyAlignment="1">
      <alignment horizontal="right" vertical="center"/>
    </xf>
    <xf numFmtId="0" fontId="14" fillId="0" borderId="1" xfId="24" applyBorder="1" applyAlignment="1">
      <alignment horizontal="right" vertical="center"/>
    </xf>
    <xf numFmtId="0" fontId="14" fillId="0" borderId="32" xfId="24" applyBorder="1" applyAlignment="1">
      <alignment horizontal="right" vertical="center"/>
    </xf>
    <xf numFmtId="0" fontId="14" fillId="0" borderId="5" xfId="24" applyBorder="1" applyAlignment="1">
      <alignment horizontal="right" vertical="center"/>
    </xf>
    <xf numFmtId="0" fontId="165" fillId="46" borderId="4" xfId="28" applyFont="1" applyFill="1" applyBorder="1" applyAlignment="1">
      <alignment horizontal="left" vertical="center" indent="4"/>
    </xf>
    <xf numFmtId="166" fontId="14" fillId="42" borderId="29" xfId="26" applyNumberFormat="1" applyFont="1" applyBorder="1" applyAlignment="1" applyProtection="1">
      <alignment horizontal="right" vertical="center"/>
      <protection locked="0"/>
    </xf>
    <xf numFmtId="0" fontId="14" fillId="42" borderId="29" xfId="26" applyFont="1" applyBorder="1" applyAlignment="1" applyProtection="1">
      <alignment horizontal="right" vertical="center"/>
      <protection locked="0"/>
    </xf>
    <xf numFmtId="0" fontId="14" fillId="42" borderId="5" xfId="26" applyFont="1" applyBorder="1" applyAlignment="1" applyProtection="1">
      <alignment horizontal="right" vertical="center"/>
      <protection locked="0"/>
    </xf>
    <xf numFmtId="49" fontId="164" fillId="46" borderId="1" xfId="24" applyNumberFormat="1" applyFont="1" applyFill="1" applyBorder="1" applyAlignment="1">
      <alignment horizontal="right" vertical="center"/>
    </xf>
    <xf numFmtId="0" fontId="14" fillId="0" borderId="1" xfId="24" applyBorder="1" applyAlignment="1">
      <alignment horizontal="right" vertical="center" wrapText="1"/>
    </xf>
    <xf numFmtId="0" fontId="14" fillId="0" borderId="5" xfId="24" applyBorder="1" applyAlignment="1">
      <alignment horizontal="right" vertical="center" wrapText="1"/>
    </xf>
    <xf numFmtId="0" fontId="14" fillId="46" borderId="4" xfId="29" applyFont="1" applyFill="1" applyBorder="1">
      <alignment horizontal="left" vertical="center" indent="5"/>
    </xf>
    <xf numFmtId="0" fontId="14" fillId="0" borderId="5" xfId="31" applyBorder="1">
      <alignment horizontal="right" vertical="center"/>
    </xf>
    <xf numFmtId="0" fontId="14" fillId="43" borderId="1" xfId="31" applyFill="1">
      <alignment horizontal="right" vertical="center"/>
    </xf>
    <xf numFmtId="0" fontId="14" fillId="43" borderId="32" xfId="36" applyFont="1" applyFill="1" applyBorder="1">
      <alignment horizontal="right" vertical="center"/>
    </xf>
    <xf numFmtId="0" fontId="14" fillId="43" borderId="5" xfId="31" applyFill="1" applyBorder="1">
      <alignment horizontal="right" vertical="center"/>
    </xf>
    <xf numFmtId="0" fontId="14" fillId="46" borderId="4" xfId="28" applyFont="1" applyFill="1" applyBorder="1" applyAlignment="1">
      <alignment horizontal="left" vertical="center" indent="5"/>
    </xf>
    <xf numFmtId="3" fontId="14" fillId="42" borderId="2" xfId="26" applyNumberFormat="1" applyFont="1" applyBorder="1" applyAlignment="1" applyProtection="1">
      <alignment horizontal="right" vertical="center"/>
    </xf>
    <xf numFmtId="0" fontId="14" fillId="46" borderId="26" xfId="24" applyFill="1" applyBorder="1" applyAlignment="1">
      <alignment horizontal="left" vertical="center" wrapText="1"/>
    </xf>
    <xf numFmtId="0" fontId="14" fillId="46" borderId="17" xfId="24" applyFill="1" applyBorder="1" applyAlignment="1">
      <alignment horizontal="right" vertical="center"/>
    </xf>
    <xf numFmtId="0" fontId="14" fillId="0" borderId="17" xfId="24" applyBorder="1" applyAlignment="1">
      <alignment vertical="center"/>
    </xf>
    <xf numFmtId="0" fontId="14" fillId="0" borderId="71" xfId="24" applyBorder="1" applyAlignment="1">
      <alignment horizontal="right" vertical="center"/>
    </xf>
    <xf numFmtId="0" fontId="14" fillId="0" borderId="22" xfId="24" applyBorder="1" applyAlignment="1">
      <alignment vertical="center"/>
    </xf>
    <xf numFmtId="0" fontId="166" fillId="46" borderId="4" xfId="28" applyFont="1" applyFill="1" applyBorder="1" applyAlignment="1">
      <alignment horizontal="left" vertical="center" indent="7"/>
    </xf>
    <xf numFmtId="0" fontId="14" fillId="42" borderId="1" xfId="37" applyFill="1" applyBorder="1">
      <alignment horizontal="right" vertical="center"/>
    </xf>
    <xf numFmtId="0" fontId="14" fillId="42" borderId="5" xfId="37" applyFill="1" applyBorder="1">
      <alignment horizontal="right" vertical="center"/>
    </xf>
    <xf numFmtId="0" fontId="164" fillId="0" borderId="0" xfId="24" applyFont="1" applyAlignment="1">
      <alignment horizontal="left" vertical="center"/>
    </xf>
    <xf numFmtId="0" fontId="14" fillId="46" borderId="4" xfId="28" applyFont="1" applyFill="1" applyBorder="1" applyAlignment="1">
      <alignment horizontal="left" vertical="center" indent="7"/>
    </xf>
    <xf numFmtId="0" fontId="164" fillId="0" borderId="0" xfId="24" applyFont="1" applyAlignment="1">
      <alignment vertical="center"/>
    </xf>
    <xf numFmtId="0" fontId="170" fillId="46" borderId="4" xfId="28" applyFont="1" applyFill="1" applyBorder="1" applyAlignment="1">
      <alignment horizontal="left" vertical="center" indent="7"/>
    </xf>
    <xf numFmtId="0" fontId="164" fillId="0" borderId="0" xfId="24" applyFont="1" applyAlignment="1">
      <alignment vertical="center" wrapText="1"/>
    </xf>
    <xf numFmtId="0" fontId="14" fillId="0" borderId="4" xfId="28" applyFont="1" applyFill="1" applyBorder="1">
      <alignment horizontal="left" vertical="center" indent="2"/>
    </xf>
    <xf numFmtId="0" fontId="14" fillId="23" borderId="32" xfId="31" applyFill="1" applyBorder="1">
      <alignment horizontal="right" vertical="center"/>
    </xf>
    <xf numFmtId="0" fontId="14" fillId="23" borderId="29" xfId="31" applyFill="1" applyBorder="1">
      <alignment horizontal="right" vertical="center"/>
    </xf>
    <xf numFmtId="0" fontId="14" fillId="46" borderId="4" xfId="28" applyFont="1" applyFill="1" applyBorder="1">
      <alignment horizontal="left" vertical="center" indent="2"/>
    </xf>
    <xf numFmtId="166" fontId="14" fillId="42" borderId="29" xfId="26" applyNumberFormat="1" applyFont="1" applyBorder="1" applyAlignment="1" applyProtection="1">
      <alignment horizontal="right" vertical="center"/>
    </xf>
    <xf numFmtId="0" fontId="14" fillId="42" borderId="29" xfId="26" applyFont="1" applyBorder="1" applyAlignment="1" applyProtection="1">
      <alignment horizontal="right" vertical="center"/>
    </xf>
    <xf numFmtId="0" fontId="14" fillId="0" borderId="4" xfId="29" applyFont="1" applyFill="1" applyBorder="1" applyAlignment="1">
      <alignment horizontal="left" vertical="center" indent="4"/>
    </xf>
    <xf numFmtId="3" fontId="14" fillId="0" borderId="2" xfId="26" applyNumberFormat="1" applyFont="1" applyFill="1" applyBorder="1" applyAlignment="1" applyProtection="1">
      <alignment horizontal="right" vertical="center"/>
    </xf>
    <xf numFmtId="166" fontId="14" fillId="0" borderId="29" xfId="26" applyNumberFormat="1" applyFont="1" applyFill="1" applyBorder="1" applyAlignment="1" applyProtection="1">
      <alignment horizontal="right" vertical="center"/>
    </xf>
    <xf numFmtId="0" fontId="14" fillId="0" borderId="29" xfId="26" applyFont="1" applyFill="1" applyBorder="1" applyAlignment="1" applyProtection="1">
      <alignment horizontal="right" vertical="center"/>
    </xf>
    <xf numFmtId="0" fontId="14" fillId="0" borderId="36" xfId="26" applyFont="1" applyFill="1" applyBorder="1" applyAlignment="1" applyProtection="1">
      <alignment horizontal="right" vertical="center"/>
    </xf>
    <xf numFmtId="0" fontId="166" fillId="46" borderId="4" xfId="28" applyFont="1" applyFill="1" applyBorder="1" applyAlignment="1">
      <alignment horizontal="left" vertical="center" wrapText="1" indent="5"/>
    </xf>
    <xf numFmtId="0" fontId="14" fillId="42" borderId="32" xfId="37" applyFill="1" applyBorder="1">
      <alignment horizontal="right" vertical="center"/>
    </xf>
    <xf numFmtId="0" fontId="14" fillId="42" borderId="65" xfId="37" applyFill="1" applyBorder="1">
      <alignment horizontal="right" vertical="center"/>
    </xf>
    <xf numFmtId="0" fontId="14" fillId="42" borderId="138" xfId="37" applyFill="1" applyBorder="1">
      <alignment horizontal="right" vertical="center"/>
    </xf>
    <xf numFmtId="0" fontId="166" fillId="46" borderId="4" xfId="28" applyFont="1" applyFill="1" applyBorder="1" applyAlignment="1">
      <alignment horizontal="left" vertical="center" indent="6"/>
    </xf>
    <xf numFmtId="0" fontId="14" fillId="46" borderId="4" xfId="28" applyFont="1" applyFill="1" applyBorder="1" applyAlignment="1">
      <alignment horizontal="left" vertical="center" indent="6"/>
    </xf>
    <xf numFmtId="0" fontId="14" fillId="0" borderId="23" xfId="31" applyBorder="1">
      <alignment horizontal="right" vertical="center"/>
    </xf>
    <xf numFmtId="0" fontId="14" fillId="46" borderId="33" xfId="28" applyFont="1" applyFill="1" applyBorder="1" applyAlignment="1">
      <alignment horizontal="left" vertical="center" indent="6"/>
    </xf>
    <xf numFmtId="0" fontId="14" fillId="0" borderId="26" xfId="28" applyFont="1" applyFill="1" applyBorder="1" applyAlignment="1">
      <alignment horizontal="left" vertical="center" indent="6"/>
    </xf>
    <xf numFmtId="0" fontId="14" fillId="0" borderId="17" xfId="31" applyBorder="1">
      <alignment horizontal="right" vertical="center"/>
    </xf>
    <xf numFmtId="0" fontId="14" fillId="46" borderId="71" xfId="36" applyFont="1" applyBorder="1">
      <alignment horizontal="right" vertical="center"/>
    </xf>
    <xf numFmtId="0" fontId="14" fillId="0" borderId="22" xfId="31" applyBorder="1">
      <alignment horizontal="right" vertical="center"/>
    </xf>
    <xf numFmtId="0" fontId="164" fillId="0" borderId="0" xfId="24" applyFont="1" applyAlignment="1">
      <alignment horizontal="centerContinuous" vertical="center" wrapText="1"/>
    </xf>
    <xf numFmtId="0" fontId="164" fillId="23" borderId="0" xfId="24" applyFont="1" applyFill="1" applyAlignment="1">
      <alignment horizontal="centerContinuous" vertical="center" wrapText="1"/>
    </xf>
    <xf numFmtId="0" fontId="18" fillId="23" borderId="0" xfId="12" applyFill="1" applyAlignment="1">
      <alignment horizontal="centerContinuous" vertical="center" wrapText="1"/>
    </xf>
    <xf numFmtId="0" fontId="14" fillId="46" borderId="38" xfId="24" applyFill="1" applyBorder="1" applyAlignment="1">
      <alignment vertical="center"/>
    </xf>
    <xf numFmtId="0" fontId="14" fillId="46" borderId="39" xfId="24" applyFill="1" applyBorder="1" applyAlignment="1">
      <alignment vertical="center"/>
    </xf>
    <xf numFmtId="0" fontId="38" fillId="0" borderId="38" xfId="33" applyFont="1"/>
    <xf numFmtId="168" fontId="14" fillId="0" borderId="1" xfId="31" applyNumberFormat="1" applyAlignment="1">
      <alignment horizontal="center" vertical="center"/>
    </xf>
    <xf numFmtId="166" fontId="14" fillId="49" borderId="1" xfId="35" applyNumberFormat="1" applyFont="1" applyFill="1" applyAlignment="1">
      <alignment horizontal="center" vertical="center"/>
    </xf>
    <xf numFmtId="0" fontId="14" fillId="0" borderId="1" xfId="31" applyAlignment="1">
      <alignment horizontal="center" vertical="center"/>
    </xf>
    <xf numFmtId="171" fontId="14" fillId="49" borderId="29" xfId="26" applyNumberFormat="1" applyFont="1" applyFill="1" applyBorder="1" applyAlignment="1" applyProtection="1">
      <alignment horizontal="center" vertical="center"/>
    </xf>
    <xf numFmtId="0" fontId="14" fillId="49" borderId="29" xfId="26" applyFont="1" applyFill="1" applyBorder="1" applyAlignment="1" applyProtection="1">
      <alignment horizontal="center" vertical="center"/>
    </xf>
    <xf numFmtId="168" fontId="14" fillId="47" borderId="1" xfId="31" applyNumberFormat="1" applyFill="1" applyAlignment="1">
      <alignment horizontal="center" vertical="center"/>
    </xf>
    <xf numFmtId="0" fontId="14" fillId="47" borderId="1" xfId="31" applyFill="1" applyAlignment="1">
      <alignment horizontal="center" vertical="center"/>
    </xf>
    <xf numFmtId="169" fontId="14" fillId="47" borderId="1" xfId="31" applyNumberFormat="1" applyFill="1" applyAlignment="1">
      <alignment horizontal="center" vertical="center"/>
    </xf>
    <xf numFmtId="0" fontId="14" fillId="48" borderId="32" xfId="36" applyFont="1" applyFill="1" applyBorder="1" applyAlignment="1">
      <alignment horizontal="center" vertical="center"/>
    </xf>
    <xf numFmtId="2" fontId="14" fillId="47" borderId="5" xfId="31" applyNumberFormat="1" applyFill="1" applyBorder="1" applyAlignment="1">
      <alignment horizontal="center" vertical="center"/>
    </xf>
    <xf numFmtId="2" fontId="14" fillId="49" borderId="5" xfId="36" applyNumberFormat="1" applyFont="1" applyFill="1" applyAlignment="1">
      <alignment horizontal="center" vertical="center"/>
    </xf>
    <xf numFmtId="168" fontId="13" fillId="46" borderId="32" xfId="36" applyNumberFormat="1" applyFont="1" applyBorder="1" applyAlignment="1">
      <alignment horizontal="center" vertical="center"/>
    </xf>
    <xf numFmtId="2" fontId="13" fillId="46" borderId="36" xfId="36" applyNumberFormat="1" applyFont="1" applyBorder="1" applyAlignment="1">
      <alignment horizontal="center" vertical="center"/>
    </xf>
    <xf numFmtId="168" fontId="14" fillId="46" borderId="32" xfId="36" applyNumberFormat="1" applyFont="1" applyBorder="1" applyAlignment="1">
      <alignment horizontal="center" vertical="center"/>
    </xf>
    <xf numFmtId="168" fontId="14" fillId="42" borderId="29" xfId="26" applyNumberFormat="1" applyFont="1" applyBorder="1" applyAlignment="1" applyProtection="1">
      <alignment horizontal="center" vertical="center"/>
    </xf>
    <xf numFmtId="168" fontId="14" fillId="46" borderId="5" xfId="36" applyNumberFormat="1" applyFont="1" applyAlignment="1">
      <alignment horizontal="center" vertical="center"/>
    </xf>
    <xf numFmtId="168" fontId="14" fillId="0" borderId="2" xfId="26" applyNumberFormat="1" applyFont="1" applyFill="1" applyBorder="1" applyAlignment="1" applyProtection="1">
      <alignment horizontal="center" vertical="center"/>
    </xf>
    <xf numFmtId="168" fontId="14" fillId="0" borderId="29" xfId="26" applyNumberFormat="1" applyFont="1" applyFill="1" applyBorder="1" applyAlignment="1" applyProtection="1">
      <alignment horizontal="center" vertical="center"/>
    </xf>
    <xf numFmtId="168" fontId="14" fillId="0" borderId="36" xfId="26" applyNumberFormat="1" applyFont="1" applyFill="1" applyBorder="1" applyAlignment="1" applyProtection="1">
      <alignment horizontal="center" vertical="center"/>
    </xf>
    <xf numFmtId="2" fontId="14" fillId="23" borderId="1" xfId="36" applyNumberFormat="1" applyFont="1" applyFill="1" applyBorder="1" applyAlignment="1">
      <alignment horizontal="center" vertical="center"/>
    </xf>
    <xf numFmtId="4" fontId="14" fillId="0" borderId="1" xfId="24" applyNumberFormat="1" applyBorder="1" applyAlignment="1">
      <alignment horizontal="right" vertical="center"/>
    </xf>
    <xf numFmtId="168" fontId="14" fillId="23" borderId="1" xfId="35" applyNumberFormat="1" applyFont="1" applyFill="1" applyAlignment="1">
      <alignment horizontal="center" vertical="center"/>
    </xf>
    <xf numFmtId="168" fontId="13" fillId="46" borderId="1" xfId="35" applyNumberFormat="1" applyFont="1" applyAlignment="1">
      <alignment horizontal="center" vertical="center"/>
    </xf>
    <xf numFmtId="0" fontId="45" fillId="0" borderId="0" xfId="22">
      <alignment horizontal="right"/>
    </xf>
    <xf numFmtId="0" fontId="174" fillId="0" borderId="0" xfId="24" applyFont="1" applyAlignment="1">
      <alignment horizontal="left" vertical="center"/>
    </xf>
    <xf numFmtId="0" fontId="174" fillId="46" borderId="16" xfId="24" applyFont="1" applyFill="1" applyBorder="1" applyAlignment="1">
      <alignment horizontal="left" vertical="center"/>
    </xf>
    <xf numFmtId="0" fontId="174" fillId="46" borderId="72" xfId="24" applyFont="1" applyFill="1" applyBorder="1" applyAlignment="1">
      <alignment horizontal="centerContinuous" vertical="center"/>
    </xf>
    <xf numFmtId="0" fontId="174" fillId="46" borderId="16" xfId="24" applyFont="1" applyFill="1" applyBorder="1" applyAlignment="1">
      <alignment horizontal="center" vertical="center" wrapText="1"/>
    </xf>
    <xf numFmtId="0" fontId="174" fillId="46" borderId="39" xfId="24" applyFont="1" applyFill="1" applyBorder="1" applyAlignment="1">
      <alignment horizontal="center" vertical="center" wrapText="1"/>
    </xf>
    <xf numFmtId="0" fontId="13" fillId="46" borderId="46" xfId="24" applyFont="1" applyFill="1" applyBorder="1" applyAlignment="1">
      <alignment horizontal="center" vertical="center" wrapText="1"/>
    </xf>
    <xf numFmtId="0" fontId="13" fillId="46" borderId="39" xfId="24" applyFont="1" applyFill="1" applyBorder="1" applyAlignment="1">
      <alignment horizontal="center" vertical="center" wrapText="1"/>
    </xf>
    <xf numFmtId="0" fontId="13" fillId="46" borderId="53" xfId="24" applyFont="1" applyFill="1" applyBorder="1" applyAlignment="1">
      <alignment horizontal="center" vertical="center" textRotation="90"/>
    </xf>
    <xf numFmtId="0" fontId="13" fillId="46" borderId="62" xfId="24" applyFont="1" applyFill="1" applyBorder="1" applyAlignment="1">
      <alignment horizontal="center" vertical="center" textRotation="90"/>
    </xf>
    <xf numFmtId="0" fontId="13" fillId="46" borderId="63" xfId="24" applyFont="1" applyFill="1" applyBorder="1" applyAlignment="1">
      <alignment horizontal="centerContinuous" vertical="center" wrapText="1"/>
    </xf>
    <xf numFmtId="0" fontId="13" fillId="46" borderId="72" xfId="24" applyFont="1" applyFill="1" applyBorder="1" applyAlignment="1">
      <alignment horizontal="centerContinuous" vertical="center" wrapText="1"/>
    </xf>
    <xf numFmtId="0" fontId="13" fillId="46" borderId="73" xfId="24" applyFont="1" applyFill="1" applyBorder="1" applyAlignment="1">
      <alignment horizontal="centerContinuous" vertical="center" wrapText="1"/>
    </xf>
    <xf numFmtId="0" fontId="174" fillId="46" borderId="13" xfId="24" applyFont="1" applyFill="1" applyBorder="1" applyAlignment="1">
      <alignment horizontal="left" vertical="top" wrapText="1"/>
    </xf>
    <xf numFmtId="0" fontId="13" fillId="46" borderId="52" xfId="24" applyFont="1" applyFill="1" applyBorder="1" applyAlignment="1">
      <alignment horizontal="center" wrapText="1"/>
    </xf>
    <xf numFmtId="0" fontId="174" fillId="46" borderId="29" xfId="24" applyFont="1" applyFill="1" applyBorder="1" applyAlignment="1">
      <alignment horizontal="centerContinuous"/>
    </xf>
    <xf numFmtId="0" fontId="174" fillId="46" borderId="30" xfId="24" applyFont="1" applyFill="1" applyBorder="1" applyAlignment="1">
      <alignment horizontal="centerContinuous"/>
    </xf>
    <xf numFmtId="0" fontId="174" fillId="46" borderId="31" xfId="24" applyFont="1" applyFill="1" applyBorder="1" applyAlignment="1">
      <alignment horizontal="centerContinuous"/>
    </xf>
    <xf numFmtId="0" fontId="13" fillId="46" borderId="23" xfId="24" applyFont="1" applyFill="1" applyBorder="1" applyAlignment="1">
      <alignment horizontal="center" wrapText="1"/>
    </xf>
    <xf numFmtId="0" fontId="13" fillId="46" borderId="57" xfId="24" applyFont="1" applyFill="1" applyBorder="1" applyAlignment="1">
      <alignment horizontal="center" wrapText="1"/>
    </xf>
    <xf numFmtId="0" fontId="174" fillId="46" borderId="13" xfId="24" applyFont="1" applyFill="1" applyBorder="1" applyAlignment="1">
      <alignment horizontal="center" vertical="center" wrapText="1"/>
    </xf>
    <xf numFmtId="0" fontId="174" fillId="46" borderId="10" xfId="24" applyFont="1" applyFill="1" applyBorder="1" applyAlignment="1">
      <alignment horizontal="center" vertical="center" wrapText="1"/>
    </xf>
    <xf numFmtId="0" fontId="13" fillId="46" borderId="21" xfId="24" applyFont="1" applyFill="1" applyBorder="1" applyAlignment="1">
      <alignment horizontal="center" vertical="center" wrapText="1"/>
    </xf>
    <xf numFmtId="0" fontId="13" fillId="46" borderId="10" xfId="24" applyFont="1" applyFill="1" applyBorder="1" applyAlignment="1">
      <alignment horizontal="center" vertical="center" wrapText="1"/>
    </xf>
    <xf numFmtId="0" fontId="13" fillId="46" borderId="48" xfId="24" applyFont="1" applyFill="1" applyBorder="1" applyAlignment="1">
      <alignment horizontal="center" textRotation="90"/>
    </xf>
    <xf numFmtId="0" fontId="13" fillId="46" borderId="132" xfId="24" applyFont="1" applyFill="1" applyBorder="1" applyAlignment="1">
      <alignment horizontal="center" textRotation="90"/>
    </xf>
    <xf numFmtId="0" fontId="13" fillId="46" borderId="33" xfId="24" applyFont="1" applyFill="1" applyBorder="1" applyAlignment="1">
      <alignment horizontal="center" textRotation="90" wrapText="1"/>
    </xf>
    <xf numFmtId="0" fontId="13" fillId="46" borderId="23" xfId="24" applyFont="1" applyFill="1" applyBorder="1" applyAlignment="1">
      <alignment horizontal="center" textRotation="90" wrapText="1"/>
    </xf>
    <xf numFmtId="3" fontId="13" fillId="46" borderId="23" xfId="24" applyNumberFormat="1" applyFont="1" applyFill="1" applyBorder="1" applyAlignment="1">
      <alignment horizontal="center" textRotation="90" wrapText="1"/>
    </xf>
    <xf numFmtId="3" fontId="13" fillId="46" borderId="24" xfId="24" applyNumberFormat="1" applyFont="1" applyFill="1" applyBorder="1" applyAlignment="1">
      <alignment horizontal="center" textRotation="90" wrapText="1"/>
    </xf>
    <xf numFmtId="0" fontId="13" fillId="46" borderId="13" xfId="24" applyFont="1" applyFill="1" applyBorder="1" applyAlignment="1">
      <alignment horizontal="left" vertical="center"/>
    </xf>
    <xf numFmtId="0" fontId="13" fillId="46" borderId="28" xfId="24" applyFont="1" applyFill="1" applyBorder="1" applyAlignment="1">
      <alignment horizontal="center" wrapText="1"/>
    </xf>
    <xf numFmtId="0" fontId="13" fillId="46" borderId="1" xfId="24" applyFont="1" applyFill="1" applyBorder="1" applyAlignment="1">
      <alignment horizontal="center" vertical="center" wrapText="1"/>
    </xf>
    <xf numFmtId="0" fontId="174" fillId="46" borderId="1" xfId="24" applyFont="1" applyFill="1" applyBorder="1" applyAlignment="1">
      <alignment horizontal="center" vertical="center" wrapText="1"/>
    </xf>
    <xf numFmtId="0" fontId="13" fillId="46" borderId="49" xfId="24" applyFont="1" applyFill="1" applyBorder="1" applyAlignment="1">
      <alignment horizontal="center" wrapText="1"/>
    </xf>
    <xf numFmtId="0" fontId="13" fillId="46" borderId="27" xfId="24" applyFont="1" applyFill="1" applyBorder="1" applyAlignment="1">
      <alignment horizontal="center" wrapText="1"/>
    </xf>
    <xf numFmtId="0" fontId="174" fillId="46" borderId="13" xfId="24" applyFont="1" applyFill="1" applyBorder="1" applyAlignment="1">
      <alignment horizontal="center" wrapText="1"/>
    </xf>
    <xf numFmtId="0" fontId="174" fillId="46" borderId="10" xfId="24" applyFont="1" applyFill="1" applyBorder="1" applyAlignment="1">
      <alignment horizontal="center" wrapText="1"/>
    </xf>
    <xf numFmtId="0" fontId="13" fillId="46" borderId="48" xfId="24" applyFont="1" applyFill="1" applyBorder="1" applyAlignment="1">
      <alignment horizontal="center" vertical="center" textRotation="90"/>
    </xf>
    <xf numFmtId="0" fontId="13" fillId="46" borderId="132" xfId="24" applyFont="1" applyFill="1" applyBorder="1" applyAlignment="1">
      <alignment horizontal="center" vertical="center" textRotation="90"/>
    </xf>
    <xf numFmtId="0" fontId="13" fillId="46" borderId="49" xfId="24" applyFont="1" applyFill="1" applyBorder="1" applyAlignment="1">
      <alignment horizontal="center" vertical="center" textRotation="90"/>
    </xf>
    <xf numFmtId="0" fontId="178" fillId="46" borderId="49" xfId="24" applyFont="1" applyFill="1" applyBorder="1" applyAlignment="1">
      <alignment horizontal="center" vertical="center" textRotation="90"/>
    </xf>
    <xf numFmtId="3" fontId="13" fillId="46" borderId="49" xfId="24" applyNumberFormat="1" applyFont="1" applyFill="1" applyBorder="1" applyAlignment="1">
      <alignment horizontal="center" vertical="center" textRotation="90"/>
    </xf>
    <xf numFmtId="3" fontId="13" fillId="46" borderId="132" xfId="24" applyNumberFormat="1" applyFont="1" applyFill="1" applyBorder="1" applyAlignment="1">
      <alignment horizontal="center" vertical="center" textRotation="90"/>
    </xf>
    <xf numFmtId="0" fontId="166" fillId="46" borderId="11" xfId="24" applyFont="1" applyFill="1" applyBorder="1" applyAlignment="1">
      <alignment horizontal="center" vertical="center" wrapText="1"/>
    </xf>
    <xf numFmtId="0" fontId="13" fillId="46" borderId="121" xfId="24" applyFont="1" applyFill="1" applyBorder="1" applyAlignment="1">
      <alignment horizontal="center" vertical="center" wrapText="1"/>
    </xf>
    <xf numFmtId="0" fontId="13" fillId="46" borderId="133" xfId="24" applyFont="1" applyFill="1" applyBorder="1" applyAlignment="1">
      <alignment horizontal="centerContinuous" vertical="center" wrapText="1"/>
    </xf>
    <xf numFmtId="0" fontId="13" fillId="46" borderId="121" xfId="24" applyFont="1" applyFill="1" applyBorder="1" applyAlignment="1">
      <alignment horizontal="centerContinuous" vertical="center" wrapText="1"/>
    </xf>
    <xf numFmtId="0" fontId="174" fillId="46" borderId="139" xfId="24" applyFont="1" applyFill="1" applyBorder="1" applyAlignment="1">
      <alignment horizontal="centerContinuous" vertical="center" wrapText="1"/>
    </xf>
    <xf numFmtId="0" fontId="174" fillId="46" borderId="11" xfId="24" applyFont="1" applyFill="1" applyBorder="1" applyAlignment="1">
      <alignment horizontal="center" vertical="center"/>
    </xf>
    <xf numFmtId="0" fontId="13" fillId="46" borderId="8" xfId="24" applyFont="1" applyFill="1" applyBorder="1" applyAlignment="1">
      <alignment horizontal="center" vertical="center"/>
    </xf>
    <xf numFmtId="0" fontId="13" fillId="46" borderId="42" xfId="24" applyFont="1" applyFill="1" applyBorder="1" applyAlignment="1">
      <alignment horizontal="centerContinuous" vertical="center" wrapText="1"/>
    </xf>
    <xf numFmtId="0" fontId="13" fillId="46" borderId="7" xfId="24" applyFont="1" applyFill="1" applyBorder="1" applyAlignment="1">
      <alignment horizontal="centerContinuous" vertical="center" wrapText="1"/>
    </xf>
    <xf numFmtId="0" fontId="13" fillId="46" borderId="35" xfId="24" applyFont="1" applyFill="1" applyBorder="1" applyAlignment="1">
      <alignment horizontal="center" vertical="center" textRotation="90"/>
    </xf>
    <xf numFmtId="0" fontId="13" fillId="46" borderId="136" xfId="24" applyFont="1" applyFill="1" applyBorder="1" applyAlignment="1">
      <alignment horizontal="center" vertical="center" textRotation="90"/>
    </xf>
    <xf numFmtId="0" fontId="13" fillId="46" borderId="2" xfId="24" applyFont="1" applyFill="1" applyBorder="1" applyAlignment="1">
      <alignment horizontal="center" vertical="center" textRotation="90"/>
    </xf>
    <xf numFmtId="0" fontId="178" fillId="46" borderId="2" xfId="24" applyFont="1" applyFill="1" applyBorder="1" applyAlignment="1">
      <alignment horizontal="center" vertical="center" textRotation="90"/>
    </xf>
    <xf numFmtId="3" fontId="13" fillId="46" borderId="2" xfId="24" applyNumberFormat="1" applyFont="1" applyFill="1" applyBorder="1" applyAlignment="1">
      <alignment horizontal="center" vertical="center" textRotation="90"/>
    </xf>
    <xf numFmtId="3" fontId="13" fillId="46" borderId="36" xfId="24" applyNumberFormat="1" applyFont="1" applyFill="1" applyBorder="1" applyAlignment="1">
      <alignment horizontal="center" vertical="center" textRotation="90"/>
    </xf>
    <xf numFmtId="0" fontId="14" fillId="46" borderId="140" xfId="24" applyFill="1" applyBorder="1" applyAlignment="1">
      <alignment horizontal="left" vertical="center"/>
    </xf>
    <xf numFmtId="0" fontId="14" fillId="42" borderId="32" xfId="30" applyBorder="1"/>
    <xf numFmtId="0" fontId="45" fillId="46" borderId="138" xfId="36" applyBorder="1">
      <alignment horizontal="right" vertical="center"/>
    </xf>
    <xf numFmtId="0" fontId="13" fillId="46" borderId="16" xfId="12" applyFont="1" applyFill="1" applyBorder="1" applyAlignment="1">
      <alignment horizontal="center"/>
    </xf>
    <xf numFmtId="0" fontId="14" fillId="46" borderId="53" xfId="24" applyFill="1" applyBorder="1" applyAlignment="1">
      <alignment horizontal="center" wrapText="1"/>
    </xf>
    <xf numFmtId="0" fontId="14" fillId="46" borderId="20" xfId="24" applyFill="1" applyBorder="1" applyAlignment="1">
      <alignment horizontal="left" vertical="center"/>
    </xf>
    <xf numFmtId="0" fontId="14" fillId="0" borderId="18" xfId="24" applyBorder="1" applyAlignment="1">
      <alignment horizontal="right" vertical="center"/>
    </xf>
    <xf numFmtId="0" fontId="165" fillId="46" borderId="59" xfId="28" applyFont="1" applyFill="1" applyBorder="1">
      <alignment horizontal="left" vertical="center" indent="2"/>
    </xf>
    <xf numFmtId="0" fontId="14" fillId="42" borderId="138" xfId="27" applyBorder="1"/>
    <xf numFmtId="0" fontId="13" fillId="46" borderId="13" xfId="12" applyFont="1" applyFill="1" applyBorder="1" applyAlignment="1">
      <alignment horizontal="center" vertical="top"/>
    </xf>
    <xf numFmtId="0" fontId="25" fillId="46" borderId="48" xfId="12" applyFont="1" applyFill="1" applyBorder="1" applyAlignment="1">
      <alignment horizontal="center" vertical="top"/>
    </xf>
    <xf numFmtId="0" fontId="14" fillId="46" borderId="5" xfId="24" applyFill="1" applyBorder="1" applyAlignment="1">
      <alignment horizontal="left" vertical="center"/>
    </xf>
    <xf numFmtId="0" fontId="14" fillId="46" borderId="59" xfId="29" applyFont="1" applyFill="1" applyBorder="1" applyAlignment="1">
      <alignment horizontal="left" vertical="center" indent="3"/>
    </xf>
    <xf numFmtId="0" fontId="45" fillId="46" borderId="59" xfId="36" applyBorder="1">
      <alignment horizontal="right" vertical="center"/>
    </xf>
    <xf numFmtId="0" fontId="45" fillId="0" borderId="138" xfId="36" applyFill="1" applyBorder="1">
      <alignment horizontal="right" vertical="center"/>
    </xf>
    <xf numFmtId="0" fontId="13" fillId="46" borderId="13" xfId="12" applyFont="1" applyFill="1" applyBorder="1" applyAlignment="1">
      <alignment horizontal="center" vertical="center"/>
    </xf>
    <xf numFmtId="0" fontId="25" fillId="46" borderId="13" xfId="12" applyFont="1" applyFill="1" applyBorder="1"/>
    <xf numFmtId="0" fontId="25" fillId="46" borderId="35" xfId="12" applyFont="1" applyFill="1" applyBorder="1" applyAlignment="1">
      <alignment horizontal="center"/>
    </xf>
    <xf numFmtId="0" fontId="14" fillId="0" borderId="23" xfId="24" applyBorder="1" applyAlignment="1">
      <alignment horizontal="right" vertical="center"/>
    </xf>
    <xf numFmtId="0" fontId="14" fillId="46" borderId="53" xfId="24" applyFill="1" applyBorder="1" applyAlignment="1">
      <alignment horizontal="center" vertical="top"/>
    </xf>
    <xf numFmtId="0" fontId="14" fillId="43" borderId="55" xfId="37" applyFill="1" applyBorder="1">
      <alignment horizontal="right" vertical="center"/>
    </xf>
    <xf numFmtId="0" fontId="14" fillId="43" borderId="65" xfId="37" applyFill="1" applyBorder="1">
      <alignment horizontal="right" vertical="center"/>
    </xf>
    <xf numFmtId="0" fontId="14" fillId="43" borderId="1" xfId="37" applyFill="1" applyBorder="1">
      <alignment horizontal="right" vertical="center"/>
    </xf>
    <xf numFmtId="0" fontId="14" fillId="43" borderId="32" xfId="37" applyFill="1" applyBorder="1">
      <alignment horizontal="right" vertical="center"/>
    </xf>
    <xf numFmtId="0" fontId="45" fillId="43" borderId="138" xfId="36" applyFill="1" applyBorder="1">
      <alignment horizontal="right" vertical="center"/>
    </xf>
    <xf numFmtId="0" fontId="14" fillId="46" borderId="48" xfId="24" applyFill="1" applyBorder="1" applyAlignment="1">
      <alignment horizontal="center" vertical="top"/>
    </xf>
    <xf numFmtId="0" fontId="14" fillId="46" borderId="4" xfId="36" applyFont="1" applyBorder="1">
      <alignment horizontal="right" vertical="center"/>
    </xf>
    <xf numFmtId="0" fontId="25" fillId="46" borderId="6" xfId="12" applyFont="1" applyFill="1" applyBorder="1"/>
    <xf numFmtId="0" fontId="14" fillId="46" borderId="35" xfId="24" applyFill="1" applyBorder="1" applyAlignment="1">
      <alignment horizontal="center" vertical="top"/>
    </xf>
    <xf numFmtId="0" fontId="14" fillId="0" borderId="17" xfId="24" applyBorder="1" applyAlignment="1">
      <alignment horizontal="right" vertical="center"/>
    </xf>
    <xf numFmtId="0" fontId="14" fillId="0" borderId="22" xfId="24" applyBorder="1" applyAlignment="1">
      <alignment horizontal="right" vertical="center"/>
    </xf>
    <xf numFmtId="0" fontId="166" fillId="46" borderId="59" xfId="28" applyFont="1" applyFill="1" applyBorder="1" applyAlignment="1">
      <alignment horizontal="left" vertical="center" indent="5"/>
    </xf>
    <xf numFmtId="0" fontId="14" fillId="42" borderId="49" xfId="37" applyFill="1" applyBorder="1">
      <alignment horizontal="right" vertical="center"/>
    </xf>
    <xf numFmtId="0" fontId="14" fillId="42" borderId="27" xfId="37" applyFill="1" applyBorder="1">
      <alignment horizontal="right" vertical="center"/>
    </xf>
    <xf numFmtId="0" fontId="14" fillId="42" borderId="10" xfId="37" applyFill="1" applyBorder="1">
      <alignment horizontal="right" vertical="center"/>
    </xf>
    <xf numFmtId="0" fontId="14" fillId="48" borderId="59" xfId="29" applyFont="1" applyFill="1" applyBorder="1">
      <alignment horizontal="left" vertical="center" indent="5"/>
    </xf>
    <xf numFmtId="0" fontId="14" fillId="47" borderId="55" xfId="37" applyFill="1" applyBorder="1">
      <alignment horizontal="right" vertical="center"/>
    </xf>
    <xf numFmtId="0" fontId="14" fillId="47" borderId="32" xfId="37" applyFill="1" applyBorder="1">
      <alignment horizontal="right" vertical="center"/>
    </xf>
    <xf numFmtId="0" fontId="13" fillId="46" borderId="13" xfId="24" applyFont="1" applyFill="1" applyBorder="1" applyAlignment="1">
      <alignment horizontal="center" vertical="center"/>
    </xf>
    <xf numFmtId="0" fontId="14" fillId="46" borderId="59" xfId="29" applyFont="1" applyFill="1" applyBorder="1">
      <alignment horizontal="left" vertical="center" indent="5"/>
    </xf>
    <xf numFmtId="0" fontId="14" fillId="0" borderId="59" xfId="28" applyFont="1" applyFill="1" applyBorder="1">
      <alignment horizontal="left" vertical="center" indent="2"/>
    </xf>
    <xf numFmtId="0" fontId="14" fillId="0" borderId="48" xfId="37" applyBorder="1">
      <alignment horizontal="right" vertical="center"/>
    </xf>
    <xf numFmtId="0" fontId="14" fillId="0" borderId="28" xfId="37" applyBorder="1">
      <alignment horizontal="right" vertical="center"/>
    </xf>
    <xf numFmtId="0" fontId="14" fillId="0" borderId="0" xfId="37" applyBorder="1">
      <alignment horizontal="right" vertical="center"/>
    </xf>
    <xf numFmtId="0" fontId="14" fillId="0" borderId="49" xfId="37" applyBorder="1">
      <alignment horizontal="right" vertical="center"/>
    </xf>
    <xf numFmtId="0" fontId="14" fillId="0" borderId="27" xfId="37" applyBorder="1">
      <alignment horizontal="right" vertical="center"/>
    </xf>
    <xf numFmtId="0" fontId="13" fillId="46" borderId="6" xfId="12" applyFont="1" applyFill="1" applyBorder="1" applyAlignment="1">
      <alignment horizontal="center" vertical="center"/>
    </xf>
    <xf numFmtId="0" fontId="13" fillId="46" borderId="6" xfId="24" applyFont="1" applyFill="1" applyBorder="1" applyAlignment="1">
      <alignment horizontal="center" vertical="center"/>
    </xf>
    <xf numFmtId="0" fontId="14" fillId="46" borderId="59" xfId="28" applyFont="1" applyFill="1" applyBorder="1" applyAlignment="1">
      <alignment horizontal="left" vertical="center"/>
    </xf>
    <xf numFmtId="0" fontId="14" fillId="42" borderId="2" xfId="37" applyFill="1" applyBorder="1">
      <alignment horizontal="right" vertical="center"/>
    </xf>
    <xf numFmtId="0" fontId="14" fillId="42" borderId="36" xfId="37" applyFill="1" applyBorder="1">
      <alignment horizontal="right" vertical="center"/>
    </xf>
    <xf numFmtId="0" fontId="13" fillId="46" borderId="16" xfId="24" applyFont="1" applyFill="1" applyBorder="1" applyAlignment="1">
      <alignment horizontal="center"/>
    </xf>
    <xf numFmtId="0" fontId="14" fillId="46" borderId="59" xfId="28" applyFont="1" applyFill="1" applyBorder="1" applyAlignment="1">
      <alignment horizontal="left" vertical="center" indent="3"/>
    </xf>
    <xf numFmtId="0" fontId="165" fillId="46" borderId="13" xfId="24" applyFont="1" applyFill="1" applyBorder="1" applyAlignment="1">
      <alignment horizontal="center" vertical="top"/>
    </xf>
    <xf numFmtId="0" fontId="14" fillId="0" borderId="1" xfId="37" applyBorder="1">
      <alignment horizontal="right" vertical="center"/>
    </xf>
    <xf numFmtId="0" fontId="14" fillId="0" borderId="55" xfId="37" applyBorder="1">
      <alignment horizontal="right" vertical="center"/>
    </xf>
    <xf numFmtId="0" fontId="14" fillId="0" borderId="65" xfId="37" applyBorder="1">
      <alignment horizontal="right" vertical="center"/>
    </xf>
    <xf numFmtId="0" fontId="14" fillId="0" borderId="5" xfId="37" applyBorder="1">
      <alignment horizontal="right" vertical="center"/>
    </xf>
    <xf numFmtId="0" fontId="13" fillId="46" borderId="46" xfId="24" applyFont="1" applyFill="1" applyBorder="1" applyAlignment="1">
      <alignment horizontal="centerContinuous" vertical="center"/>
    </xf>
    <xf numFmtId="0" fontId="13" fillId="46" borderId="39" xfId="24" applyFont="1" applyFill="1" applyBorder="1" applyAlignment="1">
      <alignment horizontal="centerContinuous" vertical="center"/>
    </xf>
    <xf numFmtId="0" fontId="166" fillId="46" borderId="59" xfId="28" applyFont="1" applyFill="1" applyBorder="1" applyAlignment="1">
      <alignment horizontal="left" vertical="center" indent="3"/>
    </xf>
    <xf numFmtId="0" fontId="14" fillId="42" borderId="64" xfId="37" applyFill="1" applyBorder="1">
      <alignment horizontal="right" vertical="center"/>
    </xf>
    <xf numFmtId="0" fontId="13" fillId="46" borderId="21" xfId="24" applyFont="1" applyFill="1" applyBorder="1" applyAlignment="1">
      <alignment horizontal="center" vertical="center"/>
    </xf>
    <xf numFmtId="0" fontId="13" fillId="46" borderId="10" xfId="24" applyFont="1" applyFill="1" applyBorder="1" applyAlignment="1">
      <alignment horizontal="center" vertical="center"/>
    </xf>
    <xf numFmtId="0" fontId="14" fillId="0" borderId="32" xfId="37" applyBorder="1">
      <alignment horizontal="right" vertical="center"/>
    </xf>
    <xf numFmtId="0" fontId="13" fillId="46" borderId="42" xfId="24" applyFont="1" applyFill="1" applyBorder="1" applyAlignment="1">
      <alignment horizontal="center" vertical="center"/>
    </xf>
    <xf numFmtId="0" fontId="13" fillId="46" borderId="7" xfId="24" applyFont="1" applyFill="1" applyBorder="1" applyAlignment="1">
      <alignment horizontal="center" vertical="center"/>
    </xf>
    <xf numFmtId="0" fontId="13" fillId="46" borderId="46" xfId="24" applyFont="1" applyFill="1" applyBorder="1" applyAlignment="1">
      <alignment horizontal="centerContinuous" wrapText="1"/>
    </xf>
    <xf numFmtId="0" fontId="13" fillId="46" borderId="39" xfId="24" applyFont="1" applyFill="1" applyBorder="1" applyAlignment="1">
      <alignment horizontal="centerContinuous" vertical="center" wrapText="1"/>
    </xf>
    <xf numFmtId="0" fontId="166" fillId="46" borderId="21" xfId="24" applyFont="1" applyFill="1" applyBorder="1" applyAlignment="1">
      <alignment horizontal="centerContinuous" vertical="top" wrapText="1"/>
    </xf>
    <xf numFmtId="0" fontId="13" fillId="46" borderId="10" xfId="24" applyFont="1" applyFill="1" applyBorder="1" applyAlignment="1">
      <alignment horizontal="centerContinuous" vertical="top" wrapText="1"/>
    </xf>
    <xf numFmtId="0" fontId="166" fillId="46" borderId="59" xfId="28" applyFont="1" applyFill="1" applyBorder="1" applyAlignment="1">
      <alignment horizontal="left" vertical="center" indent="6"/>
    </xf>
    <xf numFmtId="0" fontId="14" fillId="46" borderId="59" xfId="28" applyFont="1" applyFill="1" applyBorder="1" applyAlignment="1">
      <alignment horizontal="left" vertical="center" indent="6"/>
    </xf>
    <xf numFmtId="0" fontId="13" fillId="46" borderId="42" xfId="24" applyFont="1" applyFill="1" applyBorder="1" applyAlignment="1">
      <alignment horizontal="center" vertical="center" wrapText="1"/>
    </xf>
    <xf numFmtId="0" fontId="13" fillId="46" borderId="7" xfId="24" applyFont="1" applyFill="1" applyBorder="1" applyAlignment="1">
      <alignment horizontal="center" vertical="center" wrapText="1"/>
    </xf>
    <xf numFmtId="0" fontId="14" fillId="46" borderId="22" xfId="24" applyFill="1" applyBorder="1" applyAlignment="1">
      <alignment horizontal="left" vertical="center"/>
    </xf>
    <xf numFmtId="0" fontId="164" fillId="0" borderId="38" xfId="12" applyFont="1" applyBorder="1" applyAlignment="1">
      <alignment horizontal="centerContinuous" vertical="top" wrapText="1"/>
    </xf>
    <xf numFmtId="0" fontId="25" fillId="0" borderId="38" xfId="12" applyFont="1" applyBorder="1" applyAlignment="1">
      <alignment horizontal="centerContinuous" vertical="top" wrapText="1"/>
    </xf>
    <xf numFmtId="0" fontId="25" fillId="0" borderId="0" xfId="12" applyFont="1" applyAlignment="1">
      <alignment horizontal="centerContinuous" vertical="top" wrapText="1"/>
    </xf>
    <xf numFmtId="0" fontId="14" fillId="46" borderId="128" xfId="28" applyFont="1" applyFill="1" applyBorder="1" applyAlignment="1">
      <alignment horizontal="left" vertical="center" indent="6"/>
    </xf>
    <xf numFmtId="0" fontId="14" fillId="0" borderId="60" xfId="28" applyFont="1" applyFill="1" applyBorder="1" applyAlignment="1">
      <alignment horizontal="left" vertical="center" indent="6"/>
    </xf>
    <xf numFmtId="0" fontId="14" fillId="0" borderId="26" xfId="37" applyBorder="1">
      <alignment horizontal="right" vertical="center"/>
    </xf>
    <xf numFmtId="0" fontId="14" fillId="0" borderId="17" xfId="37" applyBorder="1">
      <alignment horizontal="right" vertical="center"/>
    </xf>
    <xf numFmtId="0" fontId="14" fillId="0" borderId="71" xfId="37" applyBorder="1">
      <alignment horizontal="right" vertical="center"/>
    </xf>
    <xf numFmtId="0" fontId="45" fillId="46" borderId="60" xfId="36" applyBorder="1">
      <alignment horizontal="right" vertical="center"/>
    </xf>
    <xf numFmtId="0" fontId="45" fillId="0" borderId="45" xfId="36" applyFill="1" applyBorder="1">
      <alignment horizontal="right" vertical="center"/>
    </xf>
    <xf numFmtId="0" fontId="164" fillId="0" borderId="0" xfId="12" applyFont="1" applyAlignment="1">
      <alignment horizontal="centerContinuous" vertical="top" wrapText="1"/>
    </xf>
    <xf numFmtId="0" fontId="14" fillId="0" borderId="0" xfId="33" applyFont="1" applyBorder="1"/>
    <xf numFmtId="0" fontId="164" fillId="0" borderId="0" xfId="12" applyFont="1" applyAlignment="1">
      <alignment vertical="top" wrapText="1"/>
    </xf>
    <xf numFmtId="0" fontId="164" fillId="0" borderId="0" xfId="12" applyFont="1" applyAlignment="1">
      <alignment horizontal="left" vertical="center"/>
    </xf>
    <xf numFmtId="0" fontId="25" fillId="0" borderId="0" xfId="12" applyFont="1" applyAlignment="1">
      <alignment horizontal="left" vertical="center"/>
    </xf>
    <xf numFmtId="0" fontId="168" fillId="0" borderId="0" xfId="12" applyFont="1" applyAlignment="1">
      <alignment vertical="top" wrapText="1"/>
    </xf>
    <xf numFmtId="0" fontId="179" fillId="0" borderId="0" xfId="12" applyFont="1" applyAlignment="1">
      <alignment horizontal="left" vertical="center"/>
    </xf>
    <xf numFmtId="0" fontId="164" fillId="0" borderId="0" xfId="24" applyFont="1" applyAlignment="1">
      <alignment horizontal="centerContinuous" vertical="top" wrapText="1"/>
    </xf>
    <xf numFmtId="0" fontId="179" fillId="0" borderId="0" xfId="24" applyFont="1" applyAlignment="1">
      <alignment horizontal="left" vertical="top"/>
    </xf>
    <xf numFmtId="0" fontId="179" fillId="0" borderId="0" xfId="24" applyFont="1" applyAlignment="1">
      <alignment horizontal="left" vertical="center"/>
    </xf>
    <xf numFmtId="0" fontId="13" fillId="46" borderId="46" xfId="24" applyFont="1" applyFill="1" applyBorder="1" applyAlignment="1">
      <alignment horizontal="left" vertical="center"/>
    </xf>
    <xf numFmtId="0" fontId="14" fillId="46" borderId="38" xfId="24" applyFill="1" applyBorder="1" applyAlignment="1">
      <alignment horizontal="left" vertical="center"/>
    </xf>
    <xf numFmtId="2" fontId="14" fillId="47" borderId="55" xfId="37" applyNumberFormat="1" applyFill="1" applyBorder="1">
      <alignment horizontal="right" vertical="center"/>
    </xf>
    <xf numFmtId="1" fontId="14" fillId="47" borderId="55" xfId="37" applyNumberFormat="1" applyFill="1" applyBorder="1" applyAlignment="1">
      <alignment horizontal="center" vertical="center"/>
    </xf>
    <xf numFmtId="168" fontId="14" fillId="47" borderId="55" xfId="37" applyNumberFormat="1" applyFill="1" applyBorder="1" applyAlignment="1">
      <alignment horizontal="center" vertical="center"/>
    </xf>
    <xf numFmtId="2" fontId="14" fillId="47" borderId="55" xfId="37" applyNumberFormat="1" applyFill="1" applyBorder="1" applyAlignment="1">
      <alignment horizontal="center" vertical="center"/>
    </xf>
    <xf numFmtId="4" fontId="14" fillId="47" borderId="65" xfId="37" applyNumberFormat="1" applyFill="1" applyBorder="1">
      <alignment horizontal="right" vertical="center"/>
    </xf>
    <xf numFmtId="2" fontId="14" fillId="47" borderId="1" xfId="37" applyNumberFormat="1" applyFill="1" applyBorder="1">
      <alignment horizontal="right" vertical="center"/>
    </xf>
    <xf numFmtId="171" fontId="174" fillId="47" borderId="138" xfId="36" applyNumberFormat="1" applyFont="1" applyFill="1" applyBorder="1" applyAlignment="1">
      <alignment horizontal="center" vertical="center"/>
    </xf>
    <xf numFmtId="169" fontId="174" fillId="47" borderId="138" xfId="36" applyNumberFormat="1" applyFont="1" applyFill="1" applyBorder="1" applyAlignment="1">
      <alignment horizontal="center" vertical="center"/>
    </xf>
    <xf numFmtId="168" fontId="14" fillId="46" borderId="4" xfId="36" applyNumberFormat="1" applyFont="1" applyBorder="1">
      <alignment horizontal="right" vertical="center"/>
    </xf>
    <xf numFmtId="168" fontId="14" fillId="0" borderId="4" xfId="37" applyNumberFormat="1" applyBorder="1">
      <alignment horizontal="right" vertical="center"/>
    </xf>
    <xf numFmtId="168" fontId="14" fillId="42" borderId="64" xfId="37" applyNumberFormat="1" applyFill="1" applyBorder="1">
      <alignment horizontal="right" vertical="center"/>
    </xf>
    <xf numFmtId="168" fontId="14" fillId="0" borderId="55" xfId="37" applyNumberFormat="1" applyBorder="1">
      <alignment horizontal="right" vertical="center"/>
    </xf>
    <xf numFmtId="4" fontId="14" fillId="0" borderId="1" xfId="37" applyNumberFormat="1" applyBorder="1">
      <alignment horizontal="right" vertical="center"/>
    </xf>
    <xf numFmtId="169" fontId="174" fillId="46" borderId="138" xfId="36" applyNumberFormat="1" applyFont="1" applyBorder="1" applyAlignment="1">
      <alignment horizontal="center" vertical="center"/>
    </xf>
    <xf numFmtId="169" fontId="45" fillId="0" borderId="138" xfId="36" applyNumberFormat="1" applyFill="1" applyBorder="1" applyAlignment="1">
      <alignment horizontal="center" vertical="center"/>
    </xf>
    <xf numFmtId="171" fontId="174" fillId="46" borderId="138" xfId="36" applyNumberFormat="1" applyFont="1" applyBorder="1" applyAlignment="1">
      <alignment horizontal="center" vertical="center"/>
    </xf>
    <xf numFmtId="0" fontId="14" fillId="42" borderId="49" xfId="37" applyFill="1" applyBorder="1" applyAlignment="1">
      <alignment horizontal="center" vertical="center"/>
    </xf>
    <xf numFmtId="168" fontId="13" fillId="46" borderId="55" xfId="35" applyNumberFormat="1" applyFont="1" applyBorder="1" applyAlignment="1">
      <alignment horizontal="center" vertical="center"/>
    </xf>
    <xf numFmtId="0" fontId="13" fillId="42" borderId="55" xfId="30" applyFont="1" applyBorder="1" applyAlignment="1">
      <alignment horizontal="center"/>
    </xf>
    <xf numFmtId="0" fontId="13" fillId="43" borderId="55" xfId="37" applyFont="1" applyFill="1" applyBorder="1" applyAlignment="1">
      <alignment horizontal="center" vertical="center"/>
    </xf>
    <xf numFmtId="168" fontId="13" fillId="46" borderId="4" xfId="36" applyNumberFormat="1" applyFont="1" applyBorder="1" applyAlignment="1">
      <alignment horizontal="center" vertical="center"/>
    </xf>
    <xf numFmtId="0" fontId="163" fillId="0" borderId="0" xfId="23" applyFont="1" applyAlignment="1">
      <alignment vertical="center"/>
    </xf>
    <xf numFmtId="0" fontId="13" fillId="46" borderId="16" xfId="24" applyFont="1" applyFill="1" applyBorder="1" applyAlignment="1">
      <alignment horizontal="center" vertical="center"/>
    </xf>
    <xf numFmtId="0" fontId="174" fillId="46" borderId="19" xfId="24" applyFont="1" applyFill="1" applyBorder="1" applyAlignment="1">
      <alignment horizontal="centerContinuous" vertical="center"/>
    </xf>
    <xf numFmtId="0" fontId="174" fillId="46" borderId="63" xfId="24" applyFont="1" applyFill="1" applyBorder="1" applyAlignment="1">
      <alignment horizontal="centerContinuous" vertical="center" wrapText="1"/>
    </xf>
    <xf numFmtId="0" fontId="174" fillId="46" borderId="73" xfId="24" applyFont="1" applyFill="1" applyBorder="1" applyAlignment="1">
      <alignment horizontal="centerContinuous" vertical="center"/>
    </xf>
    <xf numFmtId="0" fontId="174" fillId="46" borderId="63" xfId="24" applyFont="1" applyFill="1" applyBorder="1" applyAlignment="1">
      <alignment horizontal="centerContinuous" vertical="center"/>
    </xf>
    <xf numFmtId="0" fontId="174" fillId="46" borderId="13" xfId="24" applyFont="1" applyFill="1" applyBorder="1" applyAlignment="1">
      <alignment horizontal="center" vertical="top"/>
    </xf>
    <xf numFmtId="0" fontId="13" fillId="46" borderId="28" xfId="24" applyFont="1" applyFill="1" applyBorder="1" applyAlignment="1">
      <alignment horizontal="center" vertical="center" wrapText="1"/>
    </xf>
    <xf numFmtId="0" fontId="174" fillId="46" borderId="49" xfId="24" applyFont="1" applyFill="1" applyBorder="1" applyAlignment="1">
      <alignment horizontal="centerContinuous" vertical="center" wrapText="1"/>
    </xf>
    <xf numFmtId="0" fontId="174" fillId="46" borderId="32" xfId="24" applyFont="1" applyFill="1" applyBorder="1" applyAlignment="1">
      <alignment horizontal="centerContinuous" vertical="center" wrapText="1"/>
    </xf>
    <xf numFmtId="0" fontId="174" fillId="46" borderId="65" xfId="24" applyFont="1" applyFill="1" applyBorder="1" applyAlignment="1">
      <alignment horizontal="centerContinuous" vertical="center"/>
    </xf>
    <xf numFmtId="0" fontId="13" fillId="46" borderId="23" xfId="24" applyFont="1" applyFill="1" applyBorder="1" applyAlignment="1">
      <alignment horizontal="center" vertical="center" wrapText="1"/>
    </xf>
    <xf numFmtId="0" fontId="13" fillId="46" borderId="57" xfId="24" applyFont="1" applyFill="1" applyBorder="1" applyAlignment="1">
      <alignment horizontal="center" vertical="center" wrapText="1"/>
    </xf>
    <xf numFmtId="0" fontId="13" fillId="46" borderId="4" xfId="24" applyFont="1" applyFill="1" applyBorder="1" applyAlignment="1">
      <alignment horizontal="centerContinuous" vertical="center"/>
    </xf>
    <xf numFmtId="0" fontId="13" fillId="46" borderId="1" xfId="24" applyFont="1" applyFill="1" applyBorder="1" applyAlignment="1">
      <alignment horizontal="centerContinuous" vertical="center"/>
    </xf>
    <xf numFmtId="0" fontId="13" fillId="46" borderId="5" xfId="24" applyFont="1" applyFill="1" applyBorder="1" applyAlignment="1">
      <alignment horizontal="centerContinuous" vertical="center"/>
    </xf>
    <xf numFmtId="0" fontId="13" fillId="46" borderId="64" xfId="24" applyFont="1" applyFill="1" applyBorder="1" applyAlignment="1">
      <alignment horizontal="centerContinuous" vertical="center"/>
    </xf>
    <xf numFmtId="0" fontId="13" fillId="46" borderId="65" xfId="24" applyFont="1" applyFill="1" applyBorder="1" applyAlignment="1">
      <alignment horizontal="centerContinuous" vertical="center"/>
    </xf>
    <xf numFmtId="0" fontId="13" fillId="46" borderId="138" xfId="24" applyFont="1" applyFill="1" applyBorder="1" applyAlignment="1">
      <alignment horizontal="centerContinuous" vertical="center"/>
    </xf>
    <xf numFmtId="0" fontId="174" fillId="46" borderId="13" xfId="24" applyFont="1" applyFill="1" applyBorder="1" applyAlignment="1">
      <alignment horizontal="left" vertical="top"/>
    </xf>
    <xf numFmtId="0" fontId="174" fillId="46" borderId="23" xfId="24" applyFont="1" applyFill="1" applyBorder="1" applyAlignment="1">
      <alignment horizontal="center" vertical="center" textRotation="90" wrapText="1"/>
    </xf>
    <xf numFmtId="0" fontId="178" fillId="46" borderId="23" xfId="24" applyFont="1" applyFill="1" applyBorder="1" applyAlignment="1">
      <alignment horizontal="center" vertical="center" textRotation="90" wrapText="1"/>
    </xf>
    <xf numFmtId="3" fontId="13" fillId="46" borderId="23" xfId="24" applyNumberFormat="1" applyFont="1" applyFill="1" applyBorder="1" applyAlignment="1">
      <alignment horizontal="center" vertical="center" textRotation="90" wrapText="1"/>
    </xf>
    <xf numFmtId="0" fontId="13" fillId="46" borderId="23" xfId="12" applyFont="1" applyFill="1" applyBorder="1" applyAlignment="1">
      <alignment horizontal="center" vertical="center" textRotation="90" wrapText="1"/>
    </xf>
    <xf numFmtId="3" fontId="174" fillId="46" borderId="23" xfId="24" applyNumberFormat="1" applyFont="1" applyFill="1" applyBorder="1" applyAlignment="1">
      <alignment horizontal="center" vertical="center" textRotation="90" wrapText="1"/>
    </xf>
    <xf numFmtId="0" fontId="13" fillId="46" borderId="28" xfId="24" applyFont="1" applyFill="1" applyBorder="1" applyAlignment="1">
      <alignment horizontal="center" vertical="center"/>
    </xf>
    <xf numFmtId="0" fontId="13" fillId="46" borderId="33" xfId="24" applyFont="1" applyFill="1" applyBorder="1" applyAlignment="1">
      <alignment horizontal="center" vertical="center"/>
    </xf>
    <xf numFmtId="0" fontId="13" fillId="46" borderId="32" xfId="24" applyFont="1" applyFill="1" applyBorder="1" applyAlignment="1">
      <alignment horizontal="centerContinuous" vertical="center"/>
    </xf>
    <xf numFmtId="0" fontId="174" fillId="46" borderId="13" xfId="24" applyFont="1" applyFill="1" applyBorder="1" applyAlignment="1">
      <alignment horizontal="left" vertical="center"/>
    </xf>
    <xf numFmtId="0" fontId="174" fillId="46" borderId="28" xfId="24" applyFont="1" applyFill="1" applyBorder="1" applyAlignment="1">
      <alignment horizontal="center" vertical="center"/>
    </xf>
    <xf numFmtId="0" fontId="174" fillId="46" borderId="49" xfId="24" applyFont="1" applyFill="1" applyBorder="1" applyAlignment="1">
      <alignment horizontal="center" vertical="center" wrapText="1"/>
    </xf>
    <xf numFmtId="0" fontId="174" fillId="46" borderId="49" xfId="24" applyFont="1" applyFill="1" applyBorder="1" applyAlignment="1">
      <alignment horizontal="center" textRotation="90" wrapText="1"/>
    </xf>
    <xf numFmtId="0" fontId="13" fillId="46" borderId="49" xfId="24" applyFont="1" applyFill="1" applyBorder="1" applyAlignment="1">
      <alignment horizontal="center" textRotation="90" wrapText="1"/>
    </xf>
    <xf numFmtId="3" fontId="13" fillId="46" borderId="49" xfId="24" applyNumberFormat="1" applyFont="1" applyFill="1" applyBorder="1" applyAlignment="1">
      <alignment horizontal="center" textRotation="90" wrapText="1"/>
    </xf>
    <xf numFmtId="0" fontId="13" fillId="46" borderId="49" xfId="12" applyFont="1" applyFill="1" applyBorder="1" applyAlignment="1">
      <alignment horizontal="center" textRotation="90" wrapText="1"/>
    </xf>
    <xf numFmtId="0" fontId="13" fillId="46" borderId="49" xfId="24" applyFont="1" applyFill="1" applyBorder="1" applyAlignment="1">
      <alignment horizontal="center" vertical="top" wrapText="1"/>
    </xf>
    <xf numFmtId="0" fontId="13" fillId="46" borderId="27" xfId="24" applyFont="1" applyFill="1" applyBorder="1" applyAlignment="1">
      <alignment horizontal="center" vertical="top" wrapText="1"/>
    </xf>
    <xf numFmtId="0" fontId="13" fillId="46" borderId="48" xfId="24" applyFont="1" applyFill="1" applyBorder="1" applyAlignment="1">
      <alignment horizontal="center" vertical="center"/>
    </xf>
    <xf numFmtId="0" fontId="13" fillId="46" borderId="23" xfId="12" applyFont="1" applyFill="1" applyBorder="1" applyAlignment="1">
      <alignment horizontal="center" textRotation="90" wrapText="1"/>
    </xf>
    <xf numFmtId="0" fontId="13" fillId="46" borderId="24" xfId="12" applyFont="1" applyFill="1" applyBorder="1" applyAlignment="1">
      <alignment horizontal="center" textRotation="90" wrapText="1"/>
    </xf>
    <xf numFmtId="0" fontId="174" fillId="46" borderId="11" xfId="24" applyFont="1" applyFill="1" applyBorder="1" applyAlignment="1">
      <alignment horizontal="left" vertical="center"/>
    </xf>
    <xf numFmtId="0" fontId="174" fillId="46" borderId="121" xfId="24" applyFont="1" applyFill="1" applyBorder="1" applyAlignment="1">
      <alignment horizontal="center" vertical="center"/>
    </xf>
    <xf numFmtId="0" fontId="180" fillId="46" borderId="133" xfId="24" applyFont="1" applyFill="1" applyBorder="1" applyAlignment="1">
      <alignment horizontal="center" vertical="center" wrapText="1"/>
    </xf>
    <xf numFmtId="0" fontId="174" fillId="46" borderId="134" xfId="24" applyFont="1" applyFill="1" applyBorder="1" applyAlignment="1">
      <alignment horizontal="center" vertical="center" textRotation="90" wrapText="1"/>
    </xf>
    <xf numFmtId="0" fontId="178" fillId="46" borderId="134" xfId="24" applyFont="1" applyFill="1" applyBorder="1" applyAlignment="1">
      <alignment horizontal="center" vertical="center" textRotation="90" wrapText="1"/>
    </xf>
    <xf numFmtId="3" fontId="13" fillId="46" borderId="134" xfId="24" applyNumberFormat="1" applyFont="1" applyFill="1" applyBorder="1" applyAlignment="1">
      <alignment horizontal="center" vertical="center" textRotation="90" wrapText="1"/>
    </xf>
    <xf numFmtId="0" fontId="13" fillId="46" borderId="134" xfId="12" applyFont="1" applyFill="1" applyBorder="1" applyAlignment="1">
      <alignment horizontal="center" vertical="center" textRotation="90" wrapText="1"/>
    </xf>
    <xf numFmtId="3" fontId="174" fillId="46" borderId="134" xfId="24" applyNumberFormat="1" applyFont="1" applyFill="1" applyBorder="1" applyAlignment="1">
      <alignment horizontal="center" vertical="center" textRotation="90" wrapText="1"/>
    </xf>
    <xf numFmtId="0" fontId="13" fillId="46" borderId="141" xfId="24" applyFont="1" applyFill="1" applyBorder="1" applyAlignment="1">
      <alignment horizontal="center" vertical="center" wrapText="1"/>
    </xf>
    <xf numFmtId="0" fontId="13" fillId="46" borderId="142" xfId="24" applyFont="1" applyFill="1" applyBorder="1" applyAlignment="1">
      <alignment horizontal="centerContinuous" vertical="center"/>
    </xf>
    <xf numFmtId="0" fontId="13" fillId="46" borderId="143" xfId="24" applyFont="1" applyFill="1" applyBorder="1" applyAlignment="1">
      <alignment horizontal="centerContinuous" vertical="center"/>
    </xf>
    <xf numFmtId="0" fontId="13" fillId="46" borderId="144" xfId="24" applyFont="1" applyFill="1" applyBorder="1" applyAlignment="1">
      <alignment horizontal="centerContinuous" vertical="center"/>
    </xf>
    <xf numFmtId="0" fontId="14" fillId="46" borderId="58" xfId="24" applyFill="1" applyBorder="1" applyAlignment="1">
      <alignment horizontal="left" vertical="center" indent="2"/>
    </xf>
    <xf numFmtId="0" fontId="174" fillId="42" borderId="2" xfId="26" applyFont="1" applyBorder="1" applyAlignment="1" applyProtection="1">
      <alignment horizontal="right" vertical="center" wrapText="1"/>
    </xf>
    <xf numFmtId="0" fontId="174" fillId="42" borderId="29" xfId="26" applyFont="1" applyBorder="1" applyAlignment="1" applyProtection="1">
      <alignment horizontal="right" vertical="center" wrapText="1"/>
    </xf>
    <xf numFmtId="0" fontId="174" fillId="42" borderId="36" xfId="26" applyFont="1" applyBorder="1" applyAlignment="1" applyProtection="1">
      <alignment horizontal="right" vertical="center" wrapText="1"/>
    </xf>
    <xf numFmtId="0" fontId="174" fillId="42" borderId="2" xfId="24" applyFont="1" applyFill="1" applyBorder="1" applyAlignment="1">
      <alignment vertical="center"/>
    </xf>
    <xf numFmtId="0" fontId="174" fillId="42" borderId="36" xfId="24" applyFont="1" applyFill="1" applyBorder="1" applyAlignment="1">
      <alignment vertical="center"/>
    </xf>
    <xf numFmtId="0" fontId="165" fillId="46" borderId="59" xfId="28" applyFont="1" applyFill="1" applyBorder="1" applyAlignment="1">
      <alignment horizontal="left" vertical="center" indent="4"/>
    </xf>
    <xf numFmtId="0" fontId="174" fillId="42" borderId="55" xfId="26" applyFont="1" applyBorder="1" applyAlignment="1" applyProtection="1">
      <alignment horizontal="right" vertical="center"/>
    </xf>
    <xf numFmtId="0" fontId="174" fillId="42" borderId="55" xfId="26" applyFont="1" applyBorder="1" applyAlignment="1" applyProtection="1">
      <alignment horizontal="right" vertical="center" wrapText="1"/>
    </xf>
    <xf numFmtId="0" fontId="174" fillId="42" borderId="32" xfId="26" applyFont="1" applyBorder="1" applyAlignment="1" applyProtection="1">
      <alignment horizontal="right" vertical="center" wrapText="1"/>
    </xf>
    <xf numFmtId="0" fontId="174" fillId="42" borderId="64" xfId="26" applyFont="1" applyBorder="1" applyAlignment="1" applyProtection="1">
      <alignment horizontal="right" vertical="center" wrapText="1"/>
    </xf>
    <xf numFmtId="0" fontId="174" fillId="42" borderId="5" xfId="26" applyFont="1" applyBorder="1" applyAlignment="1" applyProtection="1">
      <alignment horizontal="right" vertical="center" wrapText="1"/>
    </xf>
    <xf numFmtId="0" fontId="174" fillId="42" borderId="4" xfId="24" applyFont="1" applyFill="1" applyBorder="1" applyAlignment="1">
      <alignment vertical="center"/>
    </xf>
    <xf numFmtId="0" fontId="174" fillId="42" borderId="1" xfId="24" applyFont="1" applyFill="1" applyBorder="1" applyAlignment="1">
      <alignment vertical="center"/>
    </xf>
    <xf numFmtId="0" fontId="174" fillId="42" borderId="5" xfId="24" applyFont="1" applyFill="1" applyBorder="1" applyAlignment="1">
      <alignment vertical="center"/>
    </xf>
    <xf numFmtId="0" fontId="174" fillId="46" borderId="55" xfId="24" applyFont="1" applyFill="1" applyBorder="1" applyAlignment="1">
      <alignment vertical="center"/>
    </xf>
    <xf numFmtId="0" fontId="14" fillId="42" borderId="55" xfId="37" applyFill="1" applyBorder="1">
      <alignment horizontal="right" vertical="center"/>
    </xf>
    <xf numFmtId="0" fontId="174" fillId="46" borderId="4" xfId="24" applyFont="1" applyFill="1" applyBorder="1" applyAlignment="1">
      <alignment vertical="center"/>
    </xf>
    <xf numFmtId="0" fontId="18" fillId="0" borderId="4" xfId="12" applyBorder="1"/>
    <xf numFmtId="0" fontId="18" fillId="42" borderId="1" xfId="12" applyFill="1" applyBorder="1"/>
    <xf numFmtId="0" fontId="18" fillId="42" borderId="5" xfId="12" applyFill="1" applyBorder="1"/>
    <xf numFmtId="0" fontId="18" fillId="42" borderId="4" xfId="12" applyFill="1" applyBorder="1"/>
    <xf numFmtId="0" fontId="14" fillId="46" borderId="59" xfId="28" applyFont="1" applyFill="1" applyBorder="1" applyAlignment="1">
      <alignment horizontal="left" vertical="center" indent="5"/>
    </xf>
    <xf numFmtId="0" fontId="166" fillId="46" borderId="59" xfId="28" applyFont="1" applyFill="1" applyBorder="1" applyAlignment="1">
      <alignment horizontal="left" vertical="center" indent="7"/>
    </xf>
    <xf numFmtId="0" fontId="14" fillId="48" borderId="59" xfId="29" applyFont="1" applyFill="1" applyBorder="1" applyAlignment="1">
      <alignment horizontal="left" vertical="center" indent="7"/>
    </xf>
    <xf numFmtId="0" fontId="14" fillId="44" borderId="55" xfId="37" applyFill="1" applyBorder="1">
      <alignment horizontal="right" vertical="center"/>
    </xf>
    <xf numFmtId="0" fontId="14" fillId="44" borderId="32" xfId="37" applyFill="1" applyBorder="1">
      <alignment horizontal="right" vertical="center"/>
    </xf>
    <xf numFmtId="0" fontId="174" fillId="44" borderId="1" xfId="24" applyFont="1" applyFill="1" applyBorder="1" applyAlignment="1">
      <alignment vertical="center"/>
    </xf>
    <xf numFmtId="0" fontId="174" fillId="44" borderId="5" xfId="24" applyFont="1" applyFill="1" applyBorder="1" applyAlignment="1">
      <alignment vertical="center"/>
    </xf>
    <xf numFmtId="0" fontId="18" fillId="44" borderId="1" xfId="12" applyFill="1" applyBorder="1"/>
    <xf numFmtId="0" fontId="18" fillId="44" borderId="5" xfId="12" applyFill="1" applyBorder="1"/>
    <xf numFmtId="0" fontId="14" fillId="46" borderId="59" xfId="28" applyFont="1" applyFill="1" applyBorder="1" applyAlignment="1">
      <alignment horizontal="left" vertical="center" indent="7"/>
    </xf>
    <xf numFmtId="0" fontId="14" fillId="0" borderId="59" xfId="28" applyFont="1" applyFill="1" applyBorder="1" applyAlignment="1">
      <alignment horizontal="left" vertical="center" indent="4"/>
    </xf>
    <xf numFmtId="0" fontId="174" fillId="0" borderId="55" xfId="24" applyFont="1" applyBorder="1" applyAlignment="1">
      <alignment vertical="center"/>
    </xf>
    <xf numFmtId="0" fontId="14" fillId="46" borderId="59" xfId="24" applyFill="1" applyBorder="1" applyAlignment="1">
      <alignment horizontal="left" vertical="center" indent="2"/>
    </xf>
    <xf numFmtId="0" fontId="14" fillId="0" borderId="128" xfId="28" applyFont="1" applyFill="1" applyBorder="1" applyAlignment="1">
      <alignment horizontal="left" vertical="center" indent="6"/>
    </xf>
    <xf numFmtId="0" fontId="14" fillId="0" borderId="52" xfId="37" applyBorder="1">
      <alignment horizontal="right" vertical="center"/>
    </xf>
    <xf numFmtId="0" fontId="14" fillId="42" borderId="52" xfId="37" applyFill="1" applyBorder="1">
      <alignment horizontal="right" vertical="center"/>
    </xf>
    <xf numFmtId="0" fontId="14" fillId="42" borderId="57" xfId="37" applyFill="1" applyBorder="1">
      <alignment horizontal="right" vertical="center"/>
    </xf>
    <xf numFmtId="0" fontId="174" fillId="46" borderId="33" xfId="24" applyFont="1" applyFill="1" applyBorder="1" applyAlignment="1">
      <alignment vertical="center"/>
    </xf>
    <xf numFmtId="0" fontId="174" fillId="42" borderId="23" xfId="24" applyFont="1" applyFill="1" applyBorder="1" applyAlignment="1">
      <alignment vertical="center"/>
    </xf>
    <xf numFmtId="0" fontId="174" fillId="42" borderId="24" xfId="24" applyFont="1" applyFill="1" applyBorder="1" applyAlignment="1">
      <alignment vertical="center"/>
    </xf>
    <xf numFmtId="0" fontId="18" fillId="0" borderId="33" xfId="12" applyBorder="1"/>
    <xf numFmtId="0" fontId="18" fillId="42" borderId="23" xfId="12" applyFill="1" applyBorder="1"/>
    <xf numFmtId="0" fontId="18" fillId="42" borderId="24" xfId="12" applyFill="1" applyBorder="1"/>
    <xf numFmtId="0" fontId="14" fillId="46" borderId="128" xfId="28" applyFont="1" applyFill="1" applyBorder="1">
      <alignment horizontal="left" vertical="center" indent="2"/>
    </xf>
    <xf numFmtId="0" fontId="45" fillId="42" borderId="17" xfId="26" applyFont="1" applyBorder="1" applyAlignment="1">
      <alignment horizontal="right" vertical="center"/>
    </xf>
    <xf numFmtId="0" fontId="45" fillId="42" borderId="17" xfId="35" applyFill="1" applyBorder="1">
      <alignment horizontal="right" vertical="center"/>
    </xf>
    <xf numFmtId="0" fontId="45" fillId="42" borderId="17" xfId="36" applyFill="1" applyBorder="1">
      <alignment horizontal="right" vertical="center"/>
    </xf>
    <xf numFmtId="0" fontId="45" fillId="42" borderId="129" xfId="26" applyFont="1" applyBorder="1" applyAlignment="1">
      <alignment horizontal="right" vertical="center"/>
    </xf>
    <xf numFmtId="0" fontId="45" fillId="42" borderId="26" xfId="26" applyFont="1" applyBorder="1" applyAlignment="1">
      <alignment horizontal="right" vertical="center"/>
    </xf>
    <xf numFmtId="0" fontId="45" fillId="46" borderId="17" xfId="26" applyFont="1" applyFill="1" applyBorder="1" applyAlignment="1">
      <alignment horizontal="right" vertical="center"/>
    </xf>
    <xf numFmtId="0" fontId="45" fillId="46" borderId="71" xfId="26" applyFont="1" applyFill="1" applyBorder="1" applyAlignment="1">
      <alignment horizontal="right" vertical="center"/>
    </xf>
    <xf numFmtId="0" fontId="45" fillId="42" borderId="26" xfId="35" applyFill="1" applyBorder="1">
      <alignment horizontal="right" vertical="center"/>
    </xf>
    <xf numFmtId="0" fontId="181" fillId="23" borderId="0" xfId="12" applyFont="1" applyFill="1"/>
    <xf numFmtId="0" fontId="13" fillId="46" borderId="70" xfId="24" applyFont="1" applyFill="1" applyBorder="1" applyAlignment="1">
      <alignment horizontal="right" vertical="center"/>
    </xf>
    <xf numFmtId="0" fontId="45" fillId="42" borderId="74" xfId="26" applyFont="1" applyBorder="1" applyAlignment="1">
      <alignment horizontal="right" vertical="center"/>
    </xf>
    <xf numFmtId="0" fontId="45" fillId="42" borderId="61" xfId="26" applyFont="1" applyBorder="1" applyAlignment="1">
      <alignment horizontal="right" vertical="center"/>
    </xf>
    <xf numFmtId="0" fontId="45" fillId="42" borderId="63" xfId="26" applyFont="1" applyBorder="1" applyAlignment="1">
      <alignment horizontal="right" vertical="center"/>
    </xf>
    <xf numFmtId="0" fontId="45" fillId="42" borderId="20" xfId="26" applyFont="1" applyBorder="1" applyAlignment="1">
      <alignment horizontal="right" vertical="center"/>
    </xf>
    <xf numFmtId="0" fontId="13" fillId="46" borderId="60" xfId="24" applyFont="1" applyFill="1" applyBorder="1" applyAlignment="1">
      <alignment horizontal="right" vertical="center"/>
    </xf>
    <xf numFmtId="0" fontId="45" fillId="46" borderId="17" xfId="35" applyBorder="1">
      <alignment horizontal="right" vertical="center"/>
    </xf>
    <xf numFmtId="0" fontId="45" fillId="46" borderId="71" xfId="36" applyBorder="1">
      <alignment horizontal="right" vertical="center"/>
    </xf>
    <xf numFmtId="0" fontId="45" fillId="46" borderId="17" xfId="36" applyBorder="1">
      <alignment horizontal="right" vertical="center"/>
    </xf>
    <xf numFmtId="0" fontId="45" fillId="42" borderId="71" xfId="26" applyFont="1" applyBorder="1" applyAlignment="1">
      <alignment horizontal="right" vertical="center"/>
    </xf>
    <xf numFmtId="0" fontId="45" fillId="42" borderId="43" xfId="26" applyFont="1" applyBorder="1" applyAlignment="1">
      <alignment horizontal="right" vertical="center"/>
    </xf>
    <xf numFmtId="0" fontId="45" fillId="42" borderId="22" xfId="26" applyFont="1" applyBorder="1" applyAlignment="1">
      <alignment horizontal="right" vertical="center"/>
    </xf>
    <xf numFmtId="0" fontId="13" fillId="46" borderId="6" xfId="24" applyFont="1" applyFill="1" applyBorder="1" applyAlignment="1">
      <alignment horizontal="left" vertical="center"/>
    </xf>
    <xf numFmtId="0" fontId="45" fillId="42" borderId="123" xfId="26" applyFont="1" applyBorder="1" applyAlignment="1">
      <alignment horizontal="right" vertical="center"/>
    </xf>
    <xf numFmtId="0" fontId="45" fillId="0" borderId="124" xfId="35" applyFill="1" applyBorder="1">
      <alignment horizontal="right" vertical="center"/>
    </xf>
    <xf numFmtId="0" fontId="45" fillId="42" borderId="124" xfId="26" applyFont="1" applyBorder="1" applyAlignment="1">
      <alignment horizontal="right" vertical="center"/>
    </xf>
    <xf numFmtId="0" fontId="45" fillId="0" borderId="124" xfId="36" applyFill="1" applyBorder="1">
      <alignment horizontal="right" vertical="center"/>
    </xf>
    <xf numFmtId="0" fontId="45" fillId="42" borderId="136" xfId="26" applyFont="1" applyBorder="1" applyAlignment="1">
      <alignment horizontal="right" vertical="center"/>
    </xf>
    <xf numFmtId="0" fontId="45" fillId="42" borderId="7" xfId="26" applyFont="1" applyBorder="1" applyAlignment="1">
      <alignment horizontal="right" vertical="center"/>
    </xf>
    <xf numFmtId="0" fontId="45" fillId="42" borderId="125" xfId="26" applyFont="1" applyBorder="1" applyAlignment="1">
      <alignment horizontal="right" vertical="center"/>
    </xf>
    <xf numFmtId="0" fontId="18" fillId="0" borderId="0" xfId="12"/>
    <xf numFmtId="0" fontId="14" fillId="0" borderId="0" xfId="12" applyFont="1" applyAlignment="1">
      <alignment horizontal="left" vertical="center"/>
    </xf>
    <xf numFmtId="0" fontId="182" fillId="0" borderId="0" xfId="12" applyFont="1" applyAlignment="1">
      <alignment horizontal="left" vertical="center"/>
    </xf>
    <xf numFmtId="0" fontId="181" fillId="0" borderId="0" xfId="12" applyFont="1"/>
    <xf numFmtId="0" fontId="164" fillId="0" borderId="0" xfId="24" quotePrefix="1" applyFont="1" applyAlignment="1">
      <alignment horizontal="left" vertical="center"/>
    </xf>
    <xf numFmtId="0" fontId="164" fillId="23" borderId="0" xfId="24" quotePrefix="1" applyFont="1" applyFill="1" applyAlignment="1">
      <alignment horizontal="centerContinuous" vertical="center" wrapText="1"/>
    </xf>
    <xf numFmtId="0" fontId="38" fillId="0" borderId="0" xfId="12" applyFont="1" applyAlignment="1">
      <alignment horizontal="centerContinuous" wrapText="1"/>
    </xf>
    <xf numFmtId="0" fontId="13" fillId="46" borderId="38" xfId="24" applyFont="1" applyFill="1" applyBorder="1" applyAlignment="1">
      <alignment horizontal="left" vertical="center"/>
    </xf>
    <xf numFmtId="0" fontId="13" fillId="46" borderId="39" xfId="24" applyFont="1" applyFill="1" applyBorder="1" applyAlignment="1">
      <alignment horizontal="left" vertical="center"/>
    </xf>
    <xf numFmtId="0" fontId="38" fillId="0" borderId="42" xfId="12" applyFont="1" applyBorder="1"/>
    <xf numFmtId="0" fontId="38" fillId="0" borderId="37" xfId="12" applyFont="1" applyBorder="1"/>
    <xf numFmtId="0" fontId="38" fillId="0" borderId="7" xfId="12" applyFont="1" applyBorder="1"/>
    <xf numFmtId="0" fontId="60" fillId="0" borderId="0" xfId="0" applyFont="1" applyAlignment="1">
      <alignment horizontal="center" vertical="top" wrapText="1"/>
    </xf>
    <xf numFmtId="0" fontId="25" fillId="0" borderId="0" xfId="0" applyFont="1" applyAlignment="1">
      <alignment vertical="center" wrapText="1"/>
    </xf>
    <xf numFmtId="0" fontId="25" fillId="0" borderId="0" xfId="0" applyFont="1" applyAlignment="1">
      <alignment horizontal="center" vertical="top" wrapText="1"/>
    </xf>
    <xf numFmtId="0" fontId="22" fillId="0" borderId="0" xfId="0" applyFont="1" applyAlignment="1">
      <alignment horizontal="center" wrapText="1"/>
    </xf>
    <xf numFmtId="3" fontId="23" fillId="0" borderId="0" xfId="0" applyNumberFormat="1" applyFont="1" applyAlignment="1">
      <alignment horizontal="right" wrapText="1"/>
    </xf>
    <xf numFmtId="3" fontId="22" fillId="0" borderId="0" xfId="0" applyNumberFormat="1" applyFont="1" applyAlignment="1">
      <alignment horizontal="right" wrapText="1"/>
    </xf>
    <xf numFmtId="0" fontId="183" fillId="0" borderId="16" xfId="0" applyFont="1" applyBorder="1" applyAlignment="1">
      <alignment vertical="center"/>
    </xf>
    <xf numFmtId="0" fontId="183" fillId="0" borderId="16" xfId="0" applyFont="1" applyBorder="1" applyAlignment="1">
      <alignment horizontal="center" vertical="center" wrapText="1"/>
    </xf>
    <xf numFmtId="0" fontId="183" fillId="0" borderId="6" xfId="0" applyFont="1" applyBorder="1" applyAlignment="1">
      <alignment vertical="center" wrapText="1"/>
    </xf>
    <xf numFmtId="0" fontId="183" fillId="0" borderId="46" xfId="0" applyFont="1" applyBorder="1" applyAlignment="1">
      <alignment horizontal="center" wrapText="1"/>
    </xf>
    <xf numFmtId="0" fontId="183" fillId="0" borderId="38" xfId="0" applyFont="1" applyBorder="1" applyAlignment="1">
      <alignment horizontal="center" wrapText="1"/>
    </xf>
    <xf numFmtId="0" fontId="183" fillId="0" borderId="39" xfId="0" applyFont="1" applyBorder="1" applyAlignment="1">
      <alignment horizontal="center" wrapText="1"/>
    </xf>
    <xf numFmtId="0" fontId="183" fillId="0" borderId="42" xfId="0" applyFont="1" applyBorder="1" applyAlignment="1">
      <alignment horizontal="center" wrapText="1"/>
    </xf>
    <xf numFmtId="0" fontId="183" fillId="0" borderId="7" xfId="0" applyFont="1" applyBorder="1" applyAlignment="1">
      <alignment horizontal="center" wrapText="1"/>
    </xf>
    <xf numFmtId="2" fontId="183" fillId="0" borderId="6" xfId="0" applyNumberFormat="1" applyFont="1" applyBorder="1" applyAlignment="1">
      <alignment horizontal="center" wrapText="1"/>
    </xf>
    <xf numFmtId="2" fontId="174" fillId="48" borderId="4" xfId="24" applyNumberFormat="1" applyFont="1" applyFill="1" applyBorder="1" applyAlignment="1">
      <alignment horizontal="center" vertical="center"/>
    </xf>
    <xf numFmtId="175" fontId="18" fillId="47" borderId="4" xfId="12" applyNumberFormat="1" applyFill="1" applyBorder="1"/>
    <xf numFmtId="173" fontId="18" fillId="47" borderId="4" xfId="12" applyNumberFormat="1" applyFill="1" applyBorder="1"/>
    <xf numFmtId="169" fontId="14" fillId="0" borderId="55" xfId="37" applyNumberFormat="1" applyBorder="1">
      <alignment horizontal="right" vertical="center"/>
    </xf>
    <xf numFmtId="169" fontId="174" fillId="46" borderId="55" xfId="24" applyNumberFormat="1" applyFont="1" applyFill="1" applyBorder="1" applyAlignment="1">
      <alignment vertical="center"/>
    </xf>
    <xf numFmtId="1" fontId="187" fillId="46" borderId="55" xfId="24" applyNumberFormat="1" applyFont="1" applyFill="1" applyBorder="1" applyAlignment="1">
      <alignment vertical="center"/>
    </xf>
    <xf numFmtId="175" fontId="174" fillId="46" borderId="4" xfId="24" applyNumberFormat="1" applyFont="1" applyFill="1" applyBorder="1" applyAlignment="1">
      <alignment vertical="center"/>
    </xf>
    <xf numFmtId="173" fontId="174" fillId="46" borderId="55" xfId="24" applyNumberFormat="1" applyFont="1" applyFill="1" applyBorder="1" applyAlignment="1">
      <alignment vertical="center"/>
    </xf>
    <xf numFmtId="173" fontId="14" fillId="0" borderId="1" xfId="37" applyNumberFormat="1" applyBorder="1">
      <alignment horizontal="right" vertical="center"/>
    </xf>
    <xf numFmtId="2" fontId="174" fillId="50" borderId="47" xfId="26" applyNumberFormat="1" applyFont="1" applyFill="1" applyBorder="1" applyAlignment="1" applyProtection="1">
      <alignment horizontal="right" vertical="center" wrapText="1"/>
    </xf>
    <xf numFmtId="175" fontId="174" fillId="46" borderId="34" xfId="24" applyNumberFormat="1" applyFont="1" applyFill="1" applyBorder="1" applyAlignment="1">
      <alignment vertical="center"/>
    </xf>
    <xf numFmtId="0" fontId="174" fillId="46" borderId="31" xfId="35" applyFont="1" applyBorder="1">
      <alignment horizontal="right" vertical="center"/>
    </xf>
    <xf numFmtId="0" fontId="174" fillId="43" borderId="31" xfId="35" applyFont="1" applyFill="1" applyBorder="1">
      <alignment horizontal="right" vertical="center"/>
    </xf>
    <xf numFmtId="0" fontId="174" fillId="42" borderId="31" xfId="35" applyFont="1" applyFill="1" applyBorder="1">
      <alignment horizontal="right" vertical="center"/>
    </xf>
    <xf numFmtId="0" fontId="184" fillId="4" borderId="51" xfId="0" applyFont="1" applyFill="1" applyBorder="1" applyAlignment="1">
      <alignment wrapText="1"/>
    </xf>
    <xf numFmtId="0" fontId="183" fillId="0" borderId="10" xfId="0" applyFont="1" applyBorder="1" applyAlignment="1">
      <alignment horizontal="center" vertical="center" wrapText="1"/>
    </xf>
    <xf numFmtId="0" fontId="183" fillId="0" borderId="7" xfId="0" applyFont="1" applyBorder="1" applyAlignment="1">
      <alignment horizontal="center" vertical="center" wrapText="1"/>
    </xf>
    <xf numFmtId="2" fontId="183" fillId="0" borderId="7" xfId="0" applyNumberFormat="1" applyFont="1" applyBorder="1" applyAlignment="1">
      <alignment horizontal="center" wrapText="1"/>
    </xf>
    <xf numFmtId="169" fontId="183" fillId="0" borderId="7" xfId="0" applyNumberFormat="1" applyFont="1" applyBorder="1" applyAlignment="1">
      <alignment horizontal="center" wrapText="1"/>
    </xf>
    <xf numFmtId="0" fontId="183" fillId="34" borderId="7" xfId="0" applyFont="1" applyFill="1" applyBorder="1" applyAlignment="1">
      <alignment wrapText="1"/>
    </xf>
    <xf numFmtId="3" fontId="45" fillId="3" borderId="17" xfId="26" applyNumberFormat="1" applyFont="1" applyFill="1" applyBorder="1" applyAlignment="1">
      <alignment horizontal="right" vertical="center"/>
    </xf>
    <xf numFmtId="175" fontId="45" fillId="3" borderId="17" xfId="26" applyNumberFormat="1" applyFont="1" applyFill="1" applyBorder="1" applyAlignment="1">
      <alignment horizontal="right" vertical="center"/>
    </xf>
    <xf numFmtId="175" fontId="45" fillId="3" borderId="22" xfId="26" applyNumberFormat="1" applyFont="1" applyFill="1" applyBorder="1" applyAlignment="1">
      <alignment horizontal="right" vertical="center"/>
    </xf>
    <xf numFmtId="2" fontId="184" fillId="0" borderId="15" xfId="0" applyNumberFormat="1" applyFont="1" applyBorder="1" applyAlignment="1">
      <alignment wrapText="1"/>
    </xf>
    <xf numFmtId="1" fontId="174" fillId="46" borderId="2" xfId="35" applyNumberFormat="1" applyFont="1" applyBorder="1">
      <alignment horizontal="right" vertical="center"/>
    </xf>
    <xf numFmtId="1" fontId="174" fillId="42" borderId="1" xfId="26" applyNumberFormat="1" applyFont="1" applyBorder="1" applyAlignment="1" applyProtection="1">
      <alignment horizontal="right" vertical="center" wrapText="1"/>
    </xf>
    <xf numFmtId="1" fontId="186" fillId="42" borderId="1" xfId="26" applyNumberFormat="1" applyFont="1" applyBorder="1" applyAlignment="1" applyProtection="1">
      <alignment horizontal="right" vertical="center" wrapText="1"/>
    </xf>
    <xf numFmtId="1" fontId="174" fillId="42" borderId="55" xfId="26" applyNumberFormat="1" applyFont="1" applyBorder="1" applyAlignment="1" applyProtection="1">
      <alignment horizontal="right" vertical="center" wrapText="1"/>
    </xf>
    <xf numFmtId="1" fontId="14" fillId="0" borderId="1" xfId="37" applyNumberFormat="1" applyBorder="1">
      <alignment horizontal="right" vertical="center"/>
    </xf>
    <xf numFmtId="1" fontId="185" fillId="0" borderId="1" xfId="37" applyNumberFormat="1" applyFont="1" applyBorder="1">
      <alignment horizontal="right" vertical="center"/>
    </xf>
    <xf numFmtId="1" fontId="174" fillId="46" borderId="55" xfId="24" applyNumberFormat="1" applyFont="1" applyFill="1" applyBorder="1" applyAlignment="1">
      <alignment vertical="center"/>
    </xf>
    <xf numFmtId="1" fontId="14" fillId="42" borderId="1" xfId="37" applyNumberFormat="1" applyFill="1" applyBorder="1">
      <alignment horizontal="right" vertical="center"/>
    </xf>
    <xf numFmtId="1" fontId="185" fillId="42" borderId="1" xfId="37" applyNumberFormat="1" applyFont="1" applyFill="1" applyBorder="1">
      <alignment horizontal="right" vertical="center"/>
    </xf>
    <xf numFmtId="1" fontId="14" fillId="42" borderId="55" xfId="37" applyNumberFormat="1" applyFill="1" applyBorder="1">
      <alignment horizontal="right" vertical="center"/>
    </xf>
    <xf numFmtId="1" fontId="185" fillId="47" borderId="1" xfId="37" applyNumberFormat="1" applyFont="1" applyFill="1" applyBorder="1">
      <alignment horizontal="right" vertical="center"/>
    </xf>
    <xf numFmtId="1" fontId="174" fillId="48" borderId="55" xfId="24" applyNumberFormat="1" applyFont="1" applyFill="1" applyBorder="1" applyAlignment="1">
      <alignment vertical="center"/>
    </xf>
    <xf numFmtId="1" fontId="186" fillId="46" borderId="55" xfId="24" applyNumberFormat="1" applyFont="1" applyFill="1" applyBorder="1" applyAlignment="1">
      <alignment vertical="center"/>
    </xf>
    <xf numFmtId="1" fontId="14" fillId="42" borderId="65" xfId="37" applyNumberFormat="1" applyFill="1" applyBorder="1">
      <alignment horizontal="right" vertical="center"/>
    </xf>
    <xf numFmtId="1" fontId="185" fillId="42" borderId="65" xfId="37" applyNumberFormat="1" applyFont="1" applyFill="1" applyBorder="1">
      <alignment horizontal="right" vertical="center"/>
    </xf>
    <xf numFmtId="1" fontId="14" fillId="0" borderId="23" xfId="37" applyNumberFormat="1" applyBorder="1">
      <alignment horizontal="right" vertical="center"/>
    </xf>
    <xf numFmtId="1" fontId="45" fillId="46" borderId="19" xfId="35" applyNumberFormat="1" applyBorder="1">
      <alignment horizontal="right" vertical="center"/>
    </xf>
    <xf numFmtId="0" fontId="87" fillId="0" borderId="0" xfId="0" applyFont="1" applyAlignment="1">
      <alignment vertical="center" wrapText="1"/>
    </xf>
    <xf numFmtId="173" fontId="174" fillId="46" borderId="35" xfId="36" applyNumberFormat="1" applyFont="1" applyBorder="1">
      <alignment horizontal="right" vertical="center"/>
    </xf>
    <xf numFmtId="175" fontId="174" fillId="46" borderId="35" xfId="35" applyNumberFormat="1" applyFont="1" applyBorder="1">
      <alignment horizontal="right" vertical="center"/>
    </xf>
    <xf numFmtId="0" fontId="38" fillId="32" borderId="0" xfId="12" applyFont="1" applyFill="1"/>
    <xf numFmtId="0" fontId="13" fillId="46" borderId="16" xfId="24" applyFont="1" applyFill="1" applyBorder="1" applyAlignment="1">
      <alignment horizontal="left" wrapText="1"/>
    </xf>
    <xf numFmtId="0" fontId="13" fillId="46" borderId="70" xfId="24" applyFont="1" applyFill="1" applyBorder="1" applyAlignment="1">
      <alignment horizontal="centerContinuous" vertical="center" wrapText="1"/>
    </xf>
    <xf numFmtId="0" fontId="13" fillId="46" borderId="73" xfId="24" applyFont="1" applyFill="1" applyBorder="1" applyAlignment="1">
      <alignment horizontal="centerContinuous" vertical="center"/>
    </xf>
    <xf numFmtId="0" fontId="13" fillId="46" borderId="13" xfId="24" applyFont="1" applyFill="1" applyBorder="1" applyAlignment="1">
      <alignment horizontal="left" vertical="top"/>
    </xf>
    <xf numFmtId="0" fontId="13" fillId="46" borderId="52" xfId="24" applyFont="1" applyFill="1" applyBorder="1" applyAlignment="1">
      <alignment horizontal="center" vertical="center" wrapText="1"/>
    </xf>
    <xf numFmtId="0" fontId="13" fillId="46" borderId="59" xfId="24" applyFont="1" applyFill="1" applyBorder="1" applyAlignment="1">
      <alignment horizontal="center" vertical="center" wrapText="1"/>
    </xf>
    <xf numFmtId="0" fontId="13" fillId="46" borderId="138" xfId="24" applyFont="1" applyFill="1" applyBorder="1" applyAlignment="1">
      <alignment horizontal="center" vertical="center" wrapText="1"/>
    </xf>
    <xf numFmtId="0" fontId="13" fillId="46" borderId="11" xfId="24" applyFont="1" applyFill="1" applyBorder="1" applyAlignment="1">
      <alignment horizontal="left" vertical="center" wrapText="1"/>
    </xf>
    <xf numFmtId="0" fontId="13" fillId="46" borderId="145" xfId="24" applyFont="1" applyFill="1" applyBorder="1" applyAlignment="1">
      <alignment horizontal="center" vertical="center" wrapText="1"/>
    </xf>
    <xf numFmtId="0" fontId="13" fillId="46" borderId="146" xfId="24" applyFont="1" applyFill="1" applyBorder="1" applyAlignment="1">
      <alignment horizontal="center" vertical="center" wrapText="1"/>
    </xf>
    <xf numFmtId="0" fontId="13" fillId="46" borderId="147" xfId="24" applyFont="1" applyFill="1" applyBorder="1" applyAlignment="1">
      <alignment horizontal="center" vertical="center" wrapText="1"/>
    </xf>
    <xf numFmtId="0" fontId="13" fillId="46" borderId="11" xfId="24" applyFont="1" applyFill="1" applyBorder="1" applyAlignment="1">
      <alignment horizontal="center" vertical="center" wrapText="1"/>
    </xf>
    <xf numFmtId="0" fontId="13" fillId="46" borderId="8" xfId="24" applyFont="1" applyFill="1" applyBorder="1" applyAlignment="1">
      <alignment horizontal="centerContinuous" vertical="center"/>
    </xf>
    <xf numFmtId="0" fontId="13" fillId="46" borderId="59" xfId="24" applyFont="1" applyFill="1" applyBorder="1" applyAlignment="1">
      <alignment horizontal="left" vertical="center"/>
    </xf>
    <xf numFmtId="0" fontId="14" fillId="42" borderId="148" xfId="26" applyFont="1" applyBorder="1" applyAlignment="1" applyProtection="1">
      <alignment horizontal="right" vertical="center"/>
    </xf>
    <xf numFmtId="0" fontId="45" fillId="42" borderId="149" xfId="26" applyFont="1" applyBorder="1" applyAlignment="1">
      <alignment horizontal="right" vertical="center"/>
    </xf>
    <xf numFmtId="0" fontId="45" fillId="42" borderId="137" xfId="26" applyFont="1" applyBorder="1" applyAlignment="1">
      <alignment horizontal="right" vertical="center"/>
    </xf>
    <xf numFmtId="0" fontId="45" fillId="42" borderId="140" xfId="26" applyFont="1" applyBorder="1" applyAlignment="1">
      <alignment horizontal="right" vertical="center" wrapText="1"/>
    </xf>
    <xf numFmtId="0" fontId="14" fillId="46" borderId="59" xfId="28" applyFont="1" applyFill="1" applyBorder="1">
      <alignment horizontal="left" vertical="center" indent="2"/>
    </xf>
    <xf numFmtId="0" fontId="14" fillId="0" borderId="55" xfId="31" applyBorder="1">
      <alignment horizontal="right" vertical="center"/>
    </xf>
    <xf numFmtId="0" fontId="188" fillId="0" borderId="0" xfId="12" applyFont="1"/>
    <xf numFmtId="0" fontId="14" fillId="46" borderId="59" xfId="28" applyFont="1" applyFill="1" applyBorder="1" applyAlignment="1">
      <alignment horizontal="left" vertical="center" indent="4"/>
    </xf>
    <xf numFmtId="0" fontId="14" fillId="46" borderId="60" xfId="28" applyFont="1" applyFill="1" applyBorder="1" applyAlignment="1">
      <alignment horizontal="left" vertical="center" indent="4"/>
    </xf>
    <xf numFmtId="0" fontId="14" fillId="46" borderId="60" xfId="24" applyFill="1" applyBorder="1" applyAlignment="1">
      <alignment horizontal="right" vertical="center"/>
    </xf>
    <xf numFmtId="0" fontId="13" fillId="46" borderId="58" xfId="24" applyFont="1" applyFill="1" applyBorder="1" applyAlignment="1">
      <alignment horizontal="left" vertical="center"/>
    </xf>
    <xf numFmtId="0" fontId="14" fillId="42" borderId="74" xfId="38" applyBorder="1"/>
    <xf numFmtId="0" fontId="14" fillId="42" borderId="19" xfId="38"/>
    <xf numFmtId="0" fontId="14" fillId="42" borderId="20" xfId="38" applyBorder="1"/>
    <xf numFmtId="0" fontId="14" fillId="42" borderId="70" xfId="38" applyBorder="1"/>
    <xf numFmtId="0" fontId="14" fillId="46" borderId="60" xfId="28" applyFont="1" applyFill="1" applyBorder="1">
      <alignment horizontal="left" vertical="center" indent="2"/>
    </xf>
    <xf numFmtId="0" fontId="13" fillId="46" borderId="70" xfId="24" applyFont="1" applyFill="1" applyBorder="1" applyAlignment="1">
      <alignment horizontal="left" vertical="center"/>
    </xf>
    <xf numFmtId="0" fontId="45" fillId="0" borderId="60" xfId="29" applyNumberFormat="1" applyFont="1" applyFill="1" applyBorder="1" applyProtection="1">
      <alignment horizontal="left" vertical="center" indent="5"/>
    </xf>
    <xf numFmtId="0" fontId="14" fillId="0" borderId="138" xfId="32" applyBorder="1">
      <alignment horizontal="right" vertical="center"/>
    </xf>
    <xf numFmtId="0" fontId="38" fillId="0" borderId="50" xfId="33" applyFont="1" applyBorder="1"/>
    <xf numFmtId="0" fontId="38" fillId="0" borderId="51" xfId="33" applyFont="1" applyBorder="1"/>
    <xf numFmtId="0" fontId="38" fillId="0" borderId="14" xfId="33" applyFont="1" applyBorder="1"/>
    <xf numFmtId="0" fontId="14" fillId="46" borderId="70" xfId="12" applyFont="1" applyFill="1" applyBorder="1" applyAlignment="1">
      <alignment horizontal="right"/>
    </xf>
    <xf numFmtId="0" fontId="14" fillId="42" borderId="127" xfId="38" applyBorder="1"/>
    <xf numFmtId="0" fontId="14" fillId="42" borderId="38" xfId="38" applyBorder="1"/>
    <xf numFmtId="0" fontId="14" fillId="42" borderId="39" xfId="39" applyBorder="1"/>
    <xf numFmtId="0" fontId="45" fillId="46" borderId="6" xfId="24" applyFont="1" applyFill="1" applyBorder="1" applyAlignment="1">
      <alignment horizontal="right" vertical="center"/>
    </xf>
    <xf numFmtId="0" fontId="189" fillId="42" borderId="125" xfId="26" applyFont="1" applyBorder="1" applyAlignment="1">
      <alignment horizontal="right" vertical="center"/>
    </xf>
    <xf numFmtId="0" fontId="189" fillId="42" borderId="37" xfId="26" applyFont="1" applyBorder="1" applyAlignment="1">
      <alignment horizontal="right" vertical="center"/>
    </xf>
    <xf numFmtId="0" fontId="189" fillId="42" borderId="37" xfId="26" applyFont="1" applyBorder="1" applyAlignment="1">
      <alignment horizontal="right" vertical="center" wrapText="1"/>
    </xf>
    <xf numFmtId="0" fontId="189" fillId="42" borderId="7" xfId="26" applyFont="1" applyBorder="1" applyAlignment="1">
      <alignment horizontal="right" vertical="center"/>
    </xf>
    <xf numFmtId="0" fontId="179" fillId="0" borderId="0" xfId="12" applyFont="1" applyAlignment="1">
      <alignment horizontal="centerContinuous" vertical="center" wrapText="1"/>
    </xf>
    <xf numFmtId="0" fontId="14" fillId="46" borderId="37" xfId="12" applyFont="1" applyFill="1" applyBorder="1" applyAlignment="1">
      <alignment horizontal="left" vertical="center"/>
    </xf>
    <xf numFmtId="0" fontId="14" fillId="46" borderId="7" xfId="12" applyFont="1" applyFill="1" applyBorder="1" applyAlignment="1">
      <alignment horizontal="left" vertical="center"/>
    </xf>
    <xf numFmtId="0" fontId="45" fillId="0" borderId="42" xfId="34" applyBorder="1" applyAlignment="1">
      <alignment horizontal="left" vertical="top"/>
    </xf>
    <xf numFmtId="0" fontId="45" fillId="0" borderId="37" xfId="34" applyBorder="1" applyAlignment="1">
      <alignment horizontal="left" vertical="top"/>
    </xf>
    <xf numFmtId="0" fontId="45" fillId="0" borderId="7" xfId="34" applyBorder="1" applyAlignment="1">
      <alignment horizontal="left" vertical="top"/>
    </xf>
    <xf numFmtId="3" fontId="14" fillId="0" borderId="55" xfId="31" applyNumberFormat="1" applyBorder="1" applyAlignment="1">
      <alignment horizontal="center" vertical="center"/>
    </xf>
    <xf numFmtId="0" fontId="14" fillId="0" borderId="5" xfId="31" applyBorder="1" applyAlignment="1">
      <alignment horizontal="center" vertical="center"/>
    </xf>
    <xf numFmtId="0" fontId="14" fillId="42" borderId="74" xfId="38" applyBorder="1" applyAlignment="1">
      <alignment horizontal="center"/>
    </xf>
    <xf numFmtId="0" fontId="14" fillId="42" borderId="19" xfId="38" applyAlignment="1">
      <alignment horizontal="center"/>
    </xf>
    <xf numFmtId="0" fontId="14" fillId="42" borderId="20" xfId="38" applyBorder="1" applyAlignment="1">
      <alignment horizontal="center"/>
    </xf>
    <xf numFmtId="0" fontId="14" fillId="0" borderId="55" xfId="31" applyBorder="1" applyAlignment="1">
      <alignment horizontal="center" vertical="center"/>
    </xf>
    <xf numFmtId="3" fontId="14" fillId="46" borderId="55" xfId="24" applyNumberFormat="1" applyFill="1" applyBorder="1" applyAlignment="1">
      <alignment horizontal="center" vertical="center"/>
    </xf>
    <xf numFmtId="187" fontId="14" fillId="46" borderId="55" xfId="24" applyNumberFormat="1" applyFill="1" applyBorder="1" applyAlignment="1">
      <alignment horizontal="center" vertical="center"/>
    </xf>
    <xf numFmtId="2" fontId="14" fillId="46" borderId="59" xfId="24" applyNumberFormat="1" applyFill="1" applyBorder="1" applyAlignment="1">
      <alignment horizontal="center" vertical="center"/>
    </xf>
    <xf numFmtId="2" fontId="14" fillId="46" borderId="60" xfId="24" applyNumberFormat="1" applyFill="1" applyBorder="1" applyAlignment="1">
      <alignment horizontal="center" vertical="center"/>
    </xf>
    <xf numFmtId="0" fontId="14" fillId="46" borderId="128" xfId="24" applyFill="1" applyBorder="1" applyAlignment="1">
      <alignment horizontal="center" vertical="center"/>
    </xf>
    <xf numFmtId="0" fontId="14" fillId="42" borderId="70" xfId="38" applyBorder="1" applyAlignment="1">
      <alignment horizontal="center"/>
    </xf>
    <xf numFmtId="0" fontId="14" fillId="46" borderId="59" xfId="24" applyFill="1" applyBorder="1" applyAlignment="1">
      <alignment horizontal="center" vertical="center"/>
    </xf>
    <xf numFmtId="0" fontId="14" fillId="46" borderId="60" xfId="24" applyFill="1" applyBorder="1" applyAlignment="1">
      <alignment horizontal="center" vertical="center"/>
    </xf>
    <xf numFmtId="2" fontId="13" fillId="46" borderId="138" xfId="24" applyNumberFormat="1" applyFont="1" applyFill="1" applyBorder="1" applyAlignment="1">
      <alignment horizontal="center" vertical="center"/>
    </xf>
    <xf numFmtId="0" fontId="13" fillId="0" borderId="41" xfId="24" applyFont="1" applyBorder="1" applyAlignment="1">
      <alignment horizontal="center" vertical="center"/>
    </xf>
    <xf numFmtId="2" fontId="13" fillId="0" borderId="45" xfId="24" applyNumberFormat="1" applyFont="1" applyBorder="1" applyAlignment="1">
      <alignment horizontal="center" vertical="center"/>
    </xf>
    <xf numFmtId="2" fontId="13" fillId="46" borderId="130" xfId="24" applyNumberFormat="1" applyFont="1" applyFill="1" applyBorder="1" applyAlignment="1">
      <alignment horizontal="center" vertical="center"/>
    </xf>
    <xf numFmtId="2" fontId="13" fillId="0" borderId="138" xfId="24" applyNumberFormat="1" applyFont="1" applyBorder="1" applyAlignment="1">
      <alignment horizontal="center" vertical="center"/>
    </xf>
    <xf numFmtId="0" fontId="13" fillId="46" borderId="73" xfId="24" applyFont="1" applyFill="1" applyBorder="1" applyAlignment="1">
      <alignment horizontal="center" vertical="center"/>
    </xf>
    <xf numFmtId="0" fontId="161" fillId="0" borderId="0" xfId="21" applyAlignment="1">
      <alignment horizontal="left" vertical="center"/>
    </xf>
    <xf numFmtId="0" fontId="38" fillId="0" borderId="0" xfId="12" applyFont="1" applyAlignment="1">
      <alignment horizontal="center"/>
    </xf>
    <xf numFmtId="4" fontId="13" fillId="0" borderId="0" xfId="40" applyFont="1" applyAlignment="1">
      <alignment vertical="center"/>
    </xf>
    <xf numFmtId="4" fontId="14" fillId="0" borderId="0" xfId="40" applyAlignment="1">
      <alignment vertical="center"/>
    </xf>
    <xf numFmtId="0" fontId="13" fillId="46" borderId="16" xfId="24" applyFont="1" applyFill="1" applyBorder="1" applyAlignment="1">
      <alignment horizontal="left" vertical="center" wrapText="1"/>
    </xf>
    <xf numFmtId="0" fontId="13" fillId="46" borderId="63" xfId="24" applyFont="1" applyFill="1" applyBorder="1" applyAlignment="1">
      <alignment horizontal="centerContinuous" vertical="center"/>
    </xf>
    <xf numFmtId="0" fontId="13" fillId="46" borderId="16" xfId="24" applyFont="1" applyFill="1" applyBorder="1" applyAlignment="1">
      <alignment horizontal="center" vertical="center" wrapText="1"/>
    </xf>
    <xf numFmtId="0" fontId="13" fillId="46" borderId="39" xfId="24" applyFont="1" applyFill="1" applyBorder="1" applyAlignment="1">
      <alignment horizontal="center" vertical="center"/>
    </xf>
    <xf numFmtId="4" fontId="13" fillId="46" borderId="18" xfId="40" applyFont="1" applyFill="1" applyBorder="1" applyAlignment="1">
      <alignment horizontal="center" vertical="center" wrapText="1"/>
    </xf>
    <xf numFmtId="4" fontId="13" fillId="46" borderId="19" xfId="40" applyFont="1" applyFill="1" applyBorder="1" applyAlignment="1">
      <alignment horizontal="center" vertical="center" wrapText="1"/>
    </xf>
    <xf numFmtId="4" fontId="13" fillId="46" borderId="20" xfId="40" applyFont="1" applyFill="1" applyBorder="1" applyAlignment="1">
      <alignment horizontal="center" vertical="center"/>
    </xf>
    <xf numFmtId="0" fontId="13" fillId="46" borderId="24" xfId="24" applyFont="1" applyFill="1" applyBorder="1" applyAlignment="1">
      <alignment horizontal="center" vertical="center" wrapText="1"/>
    </xf>
    <xf numFmtId="0" fontId="13" fillId="46" borderId="13" xfId="24" applyFont="1" applyFill="1" applyBorder="1" applyAlignment="1">
      <alignment horizontal="center" vertical="center" wrapText="1"/>
    </xf>
    <xf numFmtId="4" fontId="14" fillId="46" borderId="4" xfId="40" applyFill="1" applyBorder="1" applyAlignment="1">
      <alignment horizontal="left" vertical="center" wrapText="1"/>
    </xf>
    <xf numFmtId="4" fontId="14" fillId="46" borderId="1" xfId="40" applyFill="1" applyBorder="1" applyAlignment="1">
      <alignment horizontal="left" vertical="center" wrapText="1"/>
    </xf>
    <xf numFmtId="4" fontId="14" fillId="0" borderId="5" xfId="41">
      <alignment horizontal="right" vertical="center"/>
    </xf>
    <xf numFmtId="0" fontId="13" fillId="46" borderId="11" xfId="24" applyFont="1" applyFill="1" applyBorder="1" applyAlignment="1">
      <alignment horizontal="left" vertical="center"/>
    </xf>
    <xf numFmtId="0" fontId="13" fillId="46" borderId="135" xfId="24" applyFont="1" applyFill="1" applyBorder="1" applyAlignment="1">
      <alignment horizontal="center" vertical="center" wrapText="1"/>
    </xf>
    <xf numFmtId="0" fontId="13" fillId="46" borderId="12" xfId="24" applyFont="1" applyFill="1" applyBorder="1" applyAlignment="1">
      <alignment horizontal="left" vertical="center" wrapText="1"/>
    </xf>
    <xf numFmtId="0" fontId="13" fillId="42" borderId="150" xfId="24" applyFont="1" applyFill="1" applyBorder="1" applyAlignment="1">
      <alignment horizontal="left" vertical="center" wrapText="1"/>
    </xf>
    <xf numFmtId="0" fontId="14" fillId="42" borderId="137" xfId="26" applyFont="1" applyBorder="1" applyAlignment="1">
      <alignment horizontal="right" vertical="center"/>
    </xf>
    <xf numFmtId="0" fontId="14" fillId="42" borderId="140" xfId="26" applyFont="1" applyBorder="1" applyAlignment="1">
      <alignment horizontal="right" vertical="center"/>
    </xf>
    <xf numFmtId="0" fontId="14" fillId="46" borderId="59" xfId="24" applyFill="1" applyBorder="1" applyAlignment="1">
      <alignment horizontal="left" vertical="center" wrapText="1" indent="3"/>
    </xf>
    <xf numFmtId="0" fontId="14" fillId="46" borderId="65" xfId="24" applyFill="1" applyBorder="1" applyAlignment="1" applyProtection="1">
      <alignment horizontal="left" vertical="center" wrapText="1"/>
      <protection locked="0"/>
    </xf>
    <xf numFmtId="0" fontId="14" fillId="46" borderId="64" xfId="24" applyFill="1" applyBorder="1" applyAlignment="1" applyProtection="1">
      <alignment horizontal="left" vertical="center" wrapText="1"/>
      <protection locked="0"/>
    </xf>
    <xf numFmtId="4" fontId="14" fillId="46" borderId="33" xfId="40" applyFill="1" applyBorder="1" applyAlignment="1">
      <alignment vertical="center" wrapText="1"/>
    </xf>
    <xf numFmtId="0" fontId="14" fillId="42" borderId="52" xfId="26" applyFont="1" applyBorder="1" applyAlignment="1">
      <alignment horizontal="right" vertical="center"/>
    </xf>
    <xf numFmtId="0" fontId="14" fillId="42" borderId="24" xfId="26" applyFont="1" applyBorder="1" applyAlignment="1">
      <alignment horizontal="right" vertical="center"/>
    </xf>
    <xf numFmtId="4" fontId="14" fillId="0" borderId="26" xfId="40" applyBorder="1" applyAlignment="1">
      <alignment vertical="center" wrapText="1"/>
    </xf>
    <xf numFmtId="4" fontId="14" fillId="0" borderId="129" xfId="40" applyBorder="1" applyAlignment="1">
      <alignment vertical="center" wrapText="1"/>
    </xf>
    <xf numFmtId="0" fontId="18" fillId="0" borderId="22" xfId="26" applyFont="1" applyFill="1" applyBorder="1"/>
    <xf numFmtId="0" fontId="164" fillId="0" borderId="0" xfId="12" applyFont="1" applyAlignment="1">
      <alignment horizontal="left"/>
    </xf>
    <xf numFmtId="0" fontId="14" fillId="46" borderId="58" xfId="24" applyFill="1" applyBorder="1" applyAlignment="1">
      <alignment horizontal="left" vertical="center" wrapText="1" indent="3"/>
    </xf>
    <xf numFmtId="0" fontId="14" fillId="0" borderId="0" xfId="12" applyFont="1" applyAlignment="1">
      <alignment horizontal="left" vertical="top"/>
    </xf>
    <xf numFmtId="0" fontId="14" fillId="46" borderId="60" xfId="24" applyFill="1" applyBorder="1" applyAlignment="1">
      <alignment horizontal="left" vertical="center" wrapText="1" indent="3"/>
    </xf>
    <xf numFmtId="0" fontId="14" fillId="23" borderId="43" xfId="24" applyFill="1" applyBorder="1" applyAlignment="1" applyProtection="1">
      <alignment horizontal="left" vertical="center" wrapText="1"/>
      <protection locked="0"/>
    </xf>
    <xf numFmtId="0" fontId="13" fillId="46" borderId="13" xfId="24" applyFont="1" applyFill="1" applyBorder="1" applyAlignment="1">
      <alignment horizontal="left" vertical="center" wrapText="1"/>
    </xf>
    <xf numFmtId="0" fontId="14" fillId="42" borderId="47" xfId="24" applyFill="1" applyBorder="1" applyAlignment="1" applyProtection="1">
      <alignment horizontal="left" vertical="center" wrapText="1"/>
      <protection locked="0"/>
    </xf>
    <xf numFmtId="0" fontId="14" fillId="46" borderId="59" xfId="24" applyFill="1" applyBorder="1" applyAlignment="1">
      <alignment horizontal="left" vertical="center" indent="3"/>
    </xf>
    <xf numFmtId="0" fontId="14" fillId="46" borderId="60" xfId="24" applyFill="1" applyBorder="1" applyAlignment="1">
      <alignment horizontal="left" vertical="center" indent="3"/>
    </xf>
    <xf numFmtId="0" fontId="14" fillId="46" borderId="44" xfId="24" applyFill="1" applyBorder="1" applyAlignment="1">
      <alignment horizontal="left" vertical="center" wrapText="1"/>
    </xf>
    <xf numFmtId="0" fontId="18" fillId="0" borderId="0" xfId="12" applyAlignment="1">
      <alignment vertical="center"/>
    </xf>
    <xf numFmtId="0" fontId="168" fillId="0" borderId="0" xfId="12" applyFont="1" applyAlignment="1">
      <alignment horizontal="left" vertical="top"/>
    </xf>
    <xf numFmtId="0" fontId="168" fillId="0" borderId="0" xfId="12" applyFont="1"/>
    <xf numFmtId="0" fontId="38" fillId="3" borderId="0" xfId="12" applyFont="1" applyFill="1"/>
    <xf numFmtId="0" fontId="168" fillId="0" borderId="0" xfId="12" applyFont="1" applyAlignment="1">
      <alignment horizontal="centerContinuous" vertical="top" wrapText="1"/>
    </xf>
    <xf numFmtId="0" fontId="18" fillId="0" borderId="0" xfId="12" applyAlignment="1">
      <alignment horizontal="centerContinuous" vertical="top" wrapText="1"/>
    </xf>
    <xf numFmtId="0" fontId="168" fillId="0" borderId="0" xfId="12" applyFont="1" applyAlignment="1">
      <alignment horizontal="left"/>
    </xf>
    <xf numFmtId="0" fontId="18" fillId="0" borderId="37" xfId="12" applyBorder="1"/>
    <xf numFmtId="0" fontId="17" fillId="46" borderId="46" xfId="12" applyFont="1" applyFill="1" applyBorder="1"/>
    <xf numFmtId="0" fontId="38" fillId="46" borderId="38" xfId="12" applyFont="1" applyFill="1" applyBorder="1"/>
    <xf numFmtId="0" fontId="38" fillId="46" borderId="39" xfId="12" applyFont="1" applyFill="1" applyBorder="1"/>
    <xf numFmtId="0" fontId="38" fillId="0" borderId="0" xfId="12" applyFont="1" applyAlignment="1">
      <alignment horizontal="left"/>
    </xf>
    <xf numFmtId="0" fontId="38" fillId="46" borderId="21" xfId="12" applyFont="1" applyFill="1" applyBorder="1"/>
    <xf numFmtId="0" fontId="14" fillId="46" borderId="58" xfId="35" applyFont="1" applyBorder="1" applyAlignment="1">
      <alignment horizontal="center" vertical="center"/>
    </xf>
    <xf numFmtId="0" fontId="14" fillId="46" borderId="59" xfId="24" applyFill="1" applyBorder="1" applyAlignment="1" applyProtection="1">
      <alignment horizontal="center" vertical="center" wrapText="1"/>
      <protection locked="0"/>
    </xf>
    <xf numFmtId="0" fontId="14" fillId="46" borderId="59" xfId="35" applyFont="1" applyBorder="1" applyAlignment="1">
      <alignment horizontal="center" vertical="center"/>
    </xf>
    <xf numFmtId="0" fontId="14" fillId="46" borderId="128" xfId="35" applyFont="1" applyBorder="1" applyAlignment="1">
      <alignment horizontal="center" vertical="center"/>
    </xf>
    <xf numFmtId="4" fontId="14" fillId="0" borderId="36" xfId="37" applyNumberFormat="1" applyBorder="1" applyAlignment="1">
      <alignment horizontal="center" vertical="center"/>
    </xf>
    <xf numFmtId="4" fontId="14" fillId="46" borderId="5" xfId="24" applyNumberFormat="1" applyFill="1" applyBorder="1" applyAlignment="1" applyProtection="1">
      <alignment horizontal="center" vertical="center" wrapText="1"/>
      <protection locked="0"/>
    </xf>
    <xf numFmtId="4" fontId="14" fillId="0" borderId="5" xfId="37" applyNumberFormat="1" applyBorder="1" applyAlignment="1">
      <alignment horizontal="center" vertical="center"/>
    </xf>
    <xf numFmtId="4" fontId="14" fillId="0" borderId="22" xfId="37" applyNumberFormat="1" applyBorder="1" applyAlignment="1">
      <alignment horizontal="center" vertical="center"/>
    </xf>
    <xf numFmtId="4" fontId="14" fillId="42" borderId="36" xfId="24" applyNumberFormat="1" applyFill="1" applyBorder="1" applyAlignment="1" applyProtection="1">
      <alignment horizontal="center" vertical="center" wrapText="1"/>
      <protection locked="0"/>
    </xf>
    <xf numFmtId="0" fontId="14" fillId="46" borderId="60" xfId="35" applyFont="1" applyBorder="1" applyAlignment="1">
      <alignment horizontal="center" vertical="center"/>
    </xf>
    <xf numFmtId="0" fontId="14" fillId="42" borderId="58" xfId="24" applyFill="1" applyBorder="1" applyAlignment="1" applyProtection="1">
      <alignment horizontal="center" vertical="center" wrapText="1"/>
      <protection locked="0"/>
    </xf>
    <xf numFmtId="0" fontId="45" fillId="46" borderId="60" xfId="35" applyBorder="1" applyAlignment="1">
      <alignment horizontal="center" vertical="center"/>
    </xf>
    <xf numFmtId="169" fontId="14" fillId="0" borderId="130" xfId="32" applyNumberFormat="1" applyBorder="1" applyAlignment="1">
      <alignment horizontal="center" vertical="center"/>
    </xf>
    <xf numFmtId="169" fontId="14" fillId="46" borderId="138" xfId="24" applyNumberFormat="1" applyFill="1" applyBorder="1" applyAlignment="1" applyProtection="1">
      <alignment horizontal="center" vertical="center" wrapText="1"/>
      <protection locked="0"/>
    </xf>
    <xf numFmtId="169" fontId="14" fillId="0" borderId="138" xfId="32" applyNumberFormat="1" applyBorder="1" applyAlignment="1">
      <alignment horizontal="center" vertical="center"/>
    </xf>
    <xf numFmtId="169" fontId="14" fillId="0" borderId="41" xfId="32" applyNumberFormat="1" applyBorder="1" applyAlignment="1">
      <alignment horizontal="center" vertical="center"/>
    </xf>
    <xf numFmtId="169" fontId="14" fillId="0" borderId="45" xfId="32" applyNumberFormat="1" applyBorder="1" applyAlignment="1">
      <alignment horizontal="center" vertical="center"/>
    </xf>
    <xf numFmtId="169" fontId="13" fillId="0" borderId="138" xfId="32" applyNumberFormat="1" applyFont="1" applyBorder="1" applyAlignment="1">
      <alignment horizontal="center" vertical="center"/>
    </xf>
    <xf numFmtId="169" fontId="13" fillId="0" borderId="45" xfId="32" applyNumberFormat="1" applyFont="1" applyBorder="1" applyAlignment="1">
      <alignment horizontal="center" vertical="center"/>
    </xf>
    <xf numFmtId="169" fontId="13" fillId="46" borderId="151" xfId="35" applyNumberFormat="1" applyFont="1" applyBorder="1" applyAlignment="1">
      <alignment horizontal="center" vertical="center"/>
    </xf>
    <xf numFmtId="169" fontId="13" fillId="46" borderId="130" xfId="24" applyNumberFormat="1" applyFont="1" applyFill="1" applyBorder="1" applyAlignment="1" applyProtection="1">
      <alignment horizontal="center" vertical="center" wrapText="1"/>
      <protection locked="0"/>
    </xf>
    <xf numFmtId="0" fontId="161" fillId="0" borderId="0" xfId="21"/>
    <xf numFmtId="0" fontId="161" fillId="0" borderId="0" xfId="21" applyAlignment="1">
      <alignment horizontal="left"/>
    </xf>
    <xf numFmtId="0" fontId="13" fillId="46" borderId="46" xfId="24" applyFont="1" applyFill="1" applyBorder="1" applyAlignment="1">
      <alignment vertical="center" wrapText="1"/>
    </xf>
    <xf numFmtId="0" fontId="13" fillId="46" borderId="54" xfId="24" applyFont="1" applyFill="1" applyBorder="1" applyAlignment="1">
      <alignment vertical="center" wrapText="1"/>
    </xf>
    <xf numFmtId="0" fontId="13" fillId="46" borderId="55" xfId="24" applyFont="1" applyFill="1" applyBorder="1" applyAlignment="1">
      <alignment horizontal="center" vertical="center" wrapText="1"/>
    </xf>
    <xf numFmtId="0" fontId="13" fillId="46" borderId="5" xfId="24" applyFont="1" applyFill="1" applyBorder="1" applyAlignment="1">
      <alignment horizontal="center" vertical="center" wrapText="1"/>
    </xf>
    <xf numFmtId="0" fontId="13" fillId="46" borderId="124" xfId="24" applyFont="1" applyFill="1" applyBorder="1" applyAlignment="1">
      <alignment vertical="center" wrapText="1"/>
    </xf>
    <xf numFmtId="0" fontId="13" fillId="46" borderId="139" xfId="24" applyFont="1" applyFill="1" applyBorder="1" applyAlignment="1">
      <alignment horizontal="center" vertical="center" wrapText="1"/>
    </xf>
    <xf numFmtId="0" fontId="13" fillId="46" borderId="134" xfId="24" applyFont="1" applyFill="1" applyBorder="1" applyAlignment="1">
      <alignment horizontal="center" vertical="center" wrapText="1"/>
    </xf>
    <xf numFmtId="0" fontId="13" fillId="46" borderId="144" xfId="24" applyFont="1" applyFill="1" applyBorder="1" applyAlignment="1">
      <alignment horizontal="centerContinuous" vertical="center" wrapText="1"/>
    </xf>
    <xf numFmtId="0" fontId="13" fillId="46" borderId="143" xfId="24" applyFont="1" applyFill="1" applyBorder="1" applyAlignment="1">
      <alignment horizontal="centerContinuous" vertical="center" wrapText="1"/>
    </xf>
    <xf numFmtId="0" fontId="14" fillId="46" borderId="63" xfId="24" applyFill="1" applyBorder="1" applyAlignment="1">
      <alignment horizontal="left" vertical="center"/>
    </xf>
    <xf numFmtId="0" fontId="13" fillId="46" borderId="58" xfId="24" applyFont="1" applyFill="1" applyBorder="1" applyAlignment="1">
      <alignment vertical="center"/>
    </xf>
    <xf numFmtId="0" fontId="14" fillId="42" borderId="149" xfId="26" applyFont="1" applyBorder="1" applyAlignment="1" applyProtection="1">
      <alignment horizontal="right" vertical="center"/>
    </xf>
    <xf numFmtId="0" fontId="14" fillId="46" borderId="137" xfId="26" applyFont="1" applyFill="1" applyBorder="1" applyAlignment="1" applyProtection="1">
      <alignment horizontal="right" vertical="center"/>
    </xf>
    <xf numFmtId="0" fontId="14" fillId="46" borderId="31" xfId="26" applyFont="1" applyFill="1" applyBorder="1" applyAlignment="1">
      <alignment horizontal="right" vertical="center"/>
    </xf>
    <xf numFmtId="0" fontId="14" fillId="46" borderId="137" xfId="26" applyFont="1" applyFill="1" applyBorder="1" applyAlignment="1">
      <alignment horizontal="right" vertical="center"/>
    </xf>
    <xf numFmtId="0" fontId="14" fillId="46" borderId="64" xfId="24" applyFill="1" applyBorder="1" applyAlignment="1">
      <alignment horizontal="left" vertical="center"/>
    </xf>
    <xf numFmtId="0" fontId="14" fillId="46" borderId="42" xfId="24" applyFill="1" applyBorder="1" applyAlignment="1">
      <alignment horizontal="left" vertical="center"/>
    </xf>
    <xf numFmtId="0" fontId="14" fillId="0" borderId="0" xfId="24" applyAlignment="1">
      <alignment horizontal="left"/>
    </xf>
    <xf numFmtId="0" fontId="14" fillId="0" borderId="0" xfId="24" applyAlignment="1">
      <alignment horizontal="left" vertical="center"/>
    </xf>
    <xf numFmtId="0" fontId="14" fillId="0" borderId="59" xfId="42" applyBorder="1">
      <alignment horizontal="left" vertical="center" wrapText="1" indent="2"/>
    </xf>
    <xf numFmtId="0" fontId="14" fillId="0" borderId="0" xfId="24" applyAlignment="1">
      <alignment horizontal="left" vertical="top"/>
    </xf>
    <xf numFmtId="0" fontId="13" fillId="46" borderId="70" xfId="24" applyFont="1" applyFill="1" applyBorder="1" applyAlignment="1">
      <alignment vertical="center"/>
    </xf>
    <xf numFmtId="0" fontId="14" fillId="42" borderId="19" xfId="26" applyFont="1" applyBorder="1" applyAlignment="1" applyProtection="1">
      <alignment horizontal="right" vertical="center"/>
    </xf>
    <xf numFmtId="0" fontId="172" fillId="0" borderId="128" xfId="29" applyNumberFormat="1" applyFont="1" applyFill="1" applyBorder="1" applyProtection="1">
      <alignment horizontal="left" vertical="center" indent="5"/>
    </xf>
    <xf numFmtId="0" fontId="14" fillId="0" borderId="128" xfId="29" applyNumberFormat="1" applyFont="1" applyFill="1" applyBorder="1" applyProtection="1">
      <alignment horizontal="left" vertical="center" indent="5"/>
    </xf>
    <xf numFmtId="0" fontId="13" fillId="46" borderId="15" xfId="24" applyFont="1" applyFill="1" applyBorder="1" applyAlignment="1">
      <alignment vertical="center"/>
    </xf>
    <xf numFmtId="0" fontId="14" fillId="0" borderId="60" xfId="42" applyBorder="1">
      <alignment horizontal="left" vertical="center" wrapText="1" indent="2"/>
    </xf>
    <xf numFmtId="0" fontId="14" fillId="0" borderId="129" xfId="31" applyBorder="1">
      <alignment horizontal="right" vertical="center"/>
    </xf>
    <xf numFmtId="0" fontId="14" fillId="46" borderId="129" xfId="35" applyFont="1" applyBorder="1">
      <alignment horizontal="right" vertical="center"/>
    </xf>
    <xf numFmtId="0" fontId="14" fillId="46" borderId="22" xfId="35" applyFont="1" applyBorder="1">
      <alignment horizontal="right" vertical="center"/>
    </xf>
    <xf numFmtId="0" fontId="14" fillId="0" borderId="22" xfId="32" applyBorder="1">
      <alignment horizontal="right" vertical="center"/>
    </xf>
    <xf numFmtId="0" fontId="168" fillId="0" borderId="0" xfId="33" applyFont="1" applyBorder="1"/>
    <xf numFmtId="0" fontId="168" fillId="0" borderId="0" xfId="33" applyFont="1" applyBorder="1" applyAlignment="1">
      <alignment horizontal="centerContinuous" vertical="center" wrapText="1"/>
    </xf>
    <xf numFmtId="0" fontId="18" fillId="0" borderId="0" xfId="12" applyAlignment="1">
      <alignment horizontal="centerContinuous" vertical="center" wrapText="1"/>
    </xf>
    <xf numFmtId="0" fontId="13" fillId="46" borderId="46" xfId="24" applyFont="1" applyFill="1" applyBorder="1"/>
    <xf numFmtId="0" fontId="13" fillId="46" borderId="38" xfId="24" applyFont="1" applyFill="1" applyBorder="1"/>
    <xf numFmtId="0" fontId="13" fillId="46" borderId="39" xfId="24" applyFont="1" applyFill="1" applyBorder="1"/>
    <xf numFmtId="0" fontId="13" fillId="46" borderId="21" xfId="24" applyFont="1" applyFill="1" applyBorder="1"/>
    <xf numFmtId="0" fontId="13" fillId="46" borderId="10" xfId="24" applyFont="1" applyFill="1" applyBorder="1"/>
    <xf numFmtId="0" fontId="14" fillId="46" borderId="47" xfId="24" applyFill="1" applyBorder="1" applyAlignment="1">
      <alignment horizontal="centerContinuous" vertical="center" wrapText="1"/>
    </xf>
    <xf numFmtId="0" fontId="14" fillId="46" borderId="30" xfId="24" applyFill="1" applyBorder="1" applyAlignment="1">
      <alignment horizontal="centerContinuous" vertical="center" wrapText="1"/>
    </xf>
    <xf numFmtId="0" fontId="14" fillId="46" borderId="130" xfId="24" applyFill="1" applyBorder="1" applyAlignment="1">
      <alignment horizontal="centerContinuous" vertical="center" wrapText="1"/>
    </xf>
    <xf numFmtId="173" fontId="14" fillId="0" borderId="55" xfId="24" applyNumberFormat="1" applyBorder="1" applyAlignment="1">
      <alignment horizontal="right" vertical="center"/>
    </xf>
    <xf numFmtId="173" fontId="14" fillId="0" borderId="55" xfId="31" applyNumberFormat="1" applyBorder="1">
      <alignment horizontal="right" vertical="center"/>
    </xf>
    <xf numFmtId="173" fontId="14" fillId="0" borderId="52" xfId="24" applyNumberFormat="1" applyBorder="1" applyAlignment="1">
      <alignment horizontal="right" vertical="center"/>
    </xf>
    <xf numFmtId="173" fontId="14" fillId="0" borderId="152" xfId="24" applyNumberFormat="1" applyBorder="1" applyAlignment="1">
      <alignment horizontal="right" vertical="center"/>
    </xf>
    <xf numFmtId="1" fontId="14" fillId="0" borderId="55" xfId="24" applyNumberFormat="1" applyBorder="1" applyAlignment="1">
      <alignment horizontal="right" vertical="center"/>
    </xf>
    <xf numFmtId="1" fontId="14" fillId="23" borderId="55" xfId="26" applyNumberFormat="1" applyFont="1" applyFill="1" applyBorder="1" applyAlignment="1" applyProtection="1">
      <alignment horizontal="right" vertical="center"/>
    </xf>
    <xf numFmtId="1" fontId="14" fillId="0" borderId="55" xfId="31" applyNumberFormat="1" applyBorder="1">
      <alignment horizontal="right" vertical="center"/>
    </xf>
    <xf numFmtId="1" fontId="14" fillId="42" borderId="74" xfId="26" applyNumberFormat="1" applyFont="1" applyBorder="1" applyAlignment="1" applyProtection="1">
      <alignment horizontal="right" vertical="center"/>
    </xf>
    <xf numFmtId="1" fontId="14" fillId="0" borderId="52" xfId="24" applyNumberFormat="1" applyBorder="1" applyAlignment="1">
      <alignment horizontal="right" vertical="center"/>
    </xf>
    <xf numFmtId="1" fontId="14" fillId="0" borderId="152" xfId="24" applyNumberFormat="1" applyBorder="1" applyAlignment="1">
      <alignment horizontal="right" vertical="center"/>
    </xf>
    <xf numFmtId="1" fontId="14" fillId="0" borderId="129" xfId="31" applyNumberFormat="1" applyBorder="1">
      <alignment horizontal="right" vertical="center"/>
    </xf>
    <xf numFmtId="2" fontId="14" fillId="0" borderId="1" xfId="24" applyNumberFormat="1" applyBorder="1" applyAlignment="1">
      <alignment horizontal="right" vertical="center"/>
    </xf>
    <xf numFmtId="2" fontId="14" fillId="23" borderId="1" xfId="26" applyNumberFormat="1" applyFont="1" applyFill="1" applyBorder="1" applyAlignment="1" applyProtection="1">
      <alignment horizontal="right" vertical="center"/>
    </xf>
    <xf numFmtId="2" fontId="14" fillId="0" borderId="3" xfId="24" applyNumberFormat="1" applyBorder="1" applyAlignment="1">
      <alignment horizontal="right" vertical="center"/>
    </xf>
    <xf numFmtId="173" fontId="14" fillId="0" borderId="65" xfId="24" applyNumberFormat="1" applyBorder="1" applyAlignment="1">
      <alignment horizontal="right" vertical="center"/>
    </xf>
    <xf numFmtId="173" fontId="14" fillId="0" borderId="5" xfId="32" applyNumberFormat="1">
      <alignment horizontal="right" vertical="center"/>
    </xf>
    <xf numFmtId="173" fontId="14" fillId="46" borderId="55" xfId="24" applyNumberFormat="1" applyFill="1" applyBorder="1" applyAlignment="1">
      <alignment horizontal="right" vertical="center"/>
    </xf>
    <xf numFmtId="173" fontId="14" fillId="46" borderId="5" xfId="24" applyNumberFormat="1" applyFill="1" applyBorder="1" applyAlignment="1">
      <alignment horizontal="right" vertical="center"/>
    </xf>
    <xf numFmtId="173" fontId="14" fillId="0" borderId="24" xfId="24" applyNumberFormat="1" applyBorder="1" applyAlignment="1">
      <alignment horizontal="right" vertical="center"/>
    </xf>
    <xf numFmtId="173" fontId="14" fillId="0" borderId="56" xfId="24" applyNumberFormat="1" applyBorder="1" applyAlignment="1">
      <alignment horizontal="right" vertical="center"/>
    </xf>
    <xf numFmtId="2" fontId="14" fillId="46" borderId="55" xfId="24" applyNumberFormat="1" applyFill="1" applyBorder="1" applyAlignment="1">
      <alignment horizontal="center" vertical="center"/>
    </xf>
    <xf numFmtId="2" fontId="14" fillId="46" borderId="36" xfId="24" applyNumberFormat="1" applyFill="1" applyBorder="1" applyAlignment="1">
      <alignment horizontal="center" vertical="center"/>
    </xf>
    <xf numFmtId="2" fontId="14" fillId="46" borderId="31" xfId="24" applyNumberFormat="1" applyFill="1" applyBorder="1" applyAlignment="1">
      <alignment horizontal="center" vertical="center"/>
    </xf>
    <xf numFmtId="2" fontId="14" fillId="46" borderId="55" xfId="26" applyNumberFormat="1" applyFont="1" applyFill="1" applyBorder="1" applyAlignment="1">
      <alignment horizontal="center" vertical="center"/>
    </xf>
    <xf numFmtId="2" fontId="14" fillId="46" borderId="5" xfId="26" applyNumberFormat="1" applyFont="1" applyFill="1" applyBorder="1" applyAlignment="1">
      <alignment horizontal="center" vertical="center"/>
    </xf>
    <xf numFmtId="2" fontId="14" fillId="46" borderId="55" xfId="35" applyNumberFormat="1" applyFont="1" applyBorder="1" applyAlignment="1">
      <alignment horizontal="center" vertical="center"/>
    </xf>
    <xf numFmtId="2" fontId="14" fillId="46" borderId="5" xfId="35" applyNumberFormat="1" applyFont="1" applyBorder="1" applyAlignment="1">
      <alignment horizontal="center" vertical="center"/>
    </xf>
    <xf numFmtId="2" fontId="14" fillId="46" borderId="74" xfId="26" applyNumberFormat="1" applyFont="1" applyFill="1" applyBorder="1" applyAlignment="1">
      <alignment horizontal="center" vertical="center"/>
    </xf>
    <xf numFmtId="2" fontId="14" fillId="46" borderId="20" xfId="26" applyNumberFormat="1" applyFont="1" applyFill="1" applyBorder="1" applyAlignment="1">
      <alignment horizontal="center" vertical="center"/>
    </xf>
    <xf numFmtId="2" fontId="14" fillId="46" borderId="52" xfId="35" applyNumberFormat="1" applyFont="1" applyBorder="1" applyAlignment="1">
      <alignment horizontal="center" vertical="center"/>
    </xf>
    <xf numFmtId="2" fontId="14" fillId="46" borderId="24" xfId="35" applyNumberFormat="1" applyFont="1" applyBorder="1" applyAlignment="1">
      <alignment horizontal="center" vertical="center"/>
    </xf>
    <xf numFmtId="2" fontId="14" fillId="46" borderId="152" xfId="24" applyNumberFormat="1" applyFill="1" applyBorder="1" applyAlignment="1">
      <alignment horizontal="center" vertical="center"/>
    </xf>
    <xf numFmtId="2" fontId="14" fillId="46" borderId="56" xfId="24" applyNumberFormat="1" applyFill="1" applyBorder="1" applyAlignment="1">
      <alignment horizontal="center" vertical="center"/>
    </xf>
    <xf numFmtId="0" fontId="13" fillId="46" borderId="46" xfId="43" applyFont="1" applyFill="1" applyBorder="1" applyAlignment="1">
      <alignment horizontal="left" vertical="center"/>
    </xf>
    <xf numFmtId="0" fontId="13" fillId="46" borderId="16" xfId="43" applyFont="1" applyFill="1" applyBorder="1" applyAlignment="1">
      <alignment horizontal="center" vertical="center" wrapText="1" shrinkToFit="1"/>
    </xf>
    <xf numFmtId="0" fontId="13" fillId="46" borderId="72" xfId="43" applyFont="1" applyFill="1" applyBorder="1" applyAlignment="1">
      <alignment horizontal="center" vertical="center" wrapText="1" shrinkToFit="1"/>
    </xf>
    <xf numFmtId="0" fontId="17" fillId="46" borderId="70" xfId="43" applyFont="1" applyFill="1" applyBorder="1" applyAlignment="1">
      <alignment horizontal="center" vertical="center" wrapText="1" shrinkToFit="1"/>
    </xf>
    <xf numFmtId="0" fontId="13" fillId="46" borderId="21" xfId="43" applyFont="1" applyFill="1" applyBorder="1" applyAlignment="1">
      <alignment horizontal="left" vertical="center"/>
    </xf>
    <xf numFmtId="0" fontId="13" fillId="46" borderId="13" xfId="43" applyFont="1" applyFill="1" applyBorder="1" applyAlignment="1">
      <alignment horizontal="center" vertical="center" wrapText="1" shrinkToFit="1"/>
    </xf>
    <xf numFmtId="0" fontId="13" fillId="46" borderId="40" xfId="43" applyFont="1" applyFill="1" applyBorder="1" applyAlignment="1">
      <alignment horizontal="center" vertical="center" wrapText="1" shrinkToFit="1"/>
    </xf>
    <xf numFmtId="0" fontId="13" fillId="46" borderId="128" xfId="43" applyFont="1" applyFill="1" applyBorder="1" applyAlignment="1">
      <alignment horizontal="center" vertical="center" wrapText="1" shrinkToFit="1"/>
    </xf>
    <xf numFmtId="0" fontId="13" fillId="46" borderId="66" xfId="43" applyFont="1" applyFill="1" applyBorder="1" applyAlignment="1">
      <alignment horizontal="center" vertical="center" wrapText="1" shrinkToFit="1"/>
    </xf>
    <xf numFmtId="0" fontId="13" fillId="46" borderId="11" xfId="43" applyFont="1" applyFill="1" applyBorder="1" applyAlignment="1">
      <alignment horizontal="center" vertical="center" wrapText="1" shrinkToFit="1"/>
    </xf>
    <xf numFmtId="0" fontId="13" fillId="46" borderId="121" xfId="43" applyFont="1" applyFill="1" applyBorder="1" applyAlignment="1">
      <alignment horizontal="center" vertical="center" wrapText="1" shrinkToFit="1"/>
    </xf>
    <xf numFmtId="0" fontId="13" fillId="46" borderId="58" xfId="43" applyFont="1" applyFill="1" applyBorder="1" applyAlignment="1">
      <alignment horizontal="left" vertical="center" wrapText="1" shrinkToFit="1"/>
    </xf>
    <xf numFmtId="0" fontId="13" fillId="43" borderId="58" xfId="43" applyFont="1" applyFill="1" applyBorder="1" applyAlignment="1">
      <alignment horizontal="center" vertical="center" wrapText="1" shrinkToFit="1"/>
    </xf>
    <xf numFmtId="0" fontId="14" fillId="46" borderId="59" xfId="43" applyFont="1" applyFill="1" applyBorder="1" applyAlignment="1">
      <alignment horizontal="left" vertical="center" wrapText="1" indent="2" shrinkToFit="1"/>
    </xf>
    <xf numFmtId="0" fontId="13" fillId="43" borderId="59" xfId="43" applyFont="1" applyFill="1" applyBorder="1" applyAlignment="1">
      <alignment horizontal="center" vertical="center" wrapText="1" shrinkToFit="1"/>
    </xf>
    <xf numFmtId="0" fontId="14" fillId="3" borderId="60" xfId="44" applyFont="1" applyFill="1" applyBorder="1">
      <alignment horizontal="left" vertical="center"/>
    </xf>
    <xf numFmtId="0" fontId="13" fillId="46" borderId="60" xfId="43" applyFont="1" applyFill="1" applyBorder="1" applyAlignment="1">
      <alignment horizontal="center" vertical="center" wrapText="1" shrinkToFit="1"/>
    </xf>
    <xf numFmtId="0" fontId="17" fillId="3" borderId="45" xfId="43" applyFont="1" applyFill="1" applyBorder="1" applyAlignment="1">
      <alignment horizontal="center" vertical="center" wrapText="1" shrinkToFit="1"/>
    </xf>
    <xf numFmtId="0" fontId="13" fillId="46" borderId="21" xfId="24" applyFont="1" applyFill="1" applyBorder="1" applyAlignment="1">
      <alignment horizontal="left" vertical="center"/>
    </xf>
    <xf numFmtId="0" fontId="14" fillId="46" borderId="21" xfId="24" applyFill="1" applyBorder="1" applyAlignment="1">
      <alignment horizontal="centerContinuous" vertical="center" wrapText="1"/>
    </xf>
    <xf numFmtId="0" fontId="14" fillId="46" borderId="0" xfId="24" applyFill="1" applyAlignment="1">
      <alignment horizontal="centerContinuous" vertical="center" wrapText="1"/>
    </xf>
    <xf numFmtId="0" fontId="14" fillId="46" borderId="10" xfId="24" applyFill="1" applyBorder="1" applyAlignment="1">
      <alignment horizontal="centerContinuous" vertical="center" wrapText="1"/>
    </xf>
    <xf numFmtId="0" fontId="45" fillId="23" borderId="50" xfId="34" applyFill="1" applyBorder="1" applyAlignment="1">
      <alignment horizontal="center" vertical="top"/>
    </xf>
    <xf numFmtId="0" fontId="45" fillId="23" borderId="51" xfId="34" applyFill="1" applyBorder="1" applyAlignment="1">
      <alignment horizontal="center" vertical="top"/>
    </xf>
    <xf numFmtId="0" fontId="45" fillId="23" borderId="14" xfId="34" applyFill="1" applyBorder="1" applyAlignment="1">
      <alignment horizontal="center" vertical="top"/>
    </xf>
    <xf numFmtId="0" fontId="192" fillId="0" borderId="0" xfId="12" applyFont="1"/>
    <xf numFmtId="2" fontId="17" fillId="3" borderId="138" xfId="43" applyNumberFormat="1" applyFont="1" applyFill="1" applyBorder="1" applyAlignment="1">
      <alignment horizontal="center" vertical="center" wrapText="1" shrinkToFit="1"/>
    </xf>
    <xf numFmtId="2" fontId="17" fillId="3" borderId="41" xfId="43" applyNumberFormat="1" applyFont="1" applyFill="1" applyBorder="1" applyAlignment="1">
      <alignment horizontal="center" vertical="center" wrapText="1" shrinkToFit="1"/>
    </xf>
    <xf numFmtId="2" fontId="17" fillId="50" borderId="130" xfId="43" applyNumberFormat="1" applyFont="1" applyFill="1" applyBorder="1" applyAlignment="1">
      <alignment horizontal="center" vertical="center" wrapText="1" shrinkToFit="1"/>
    </xf>
    <xf numFmtId="4" fontId="14" fillId="3" borderId="59" xfId="44" applyNumberFormat="1" applyFont="1" applyFill="1" applyAlignment="1">
      <alignment horizontal="right" vertical="center"/>
    </xf>
    <xf numFmtId="4" fontId="14" fillId="3" borderId="128" xfId="44" applyNumberFormat="1" applyFont="1" applyFill="1" applyBorder="1" applyAlignment="1">
      <alignment horizontal="right" vertical="center"/>
    </xf>
    <xf numFmtId="2" fontId="13" fillId="46" borderId="59" xfId="43" applyNumberFormat="1" applyFont="1" applyFill="1" applyBorder="1" applyAlignment="1">
      <alignment horizontal="center" vertical="center" wrapText="1" shrinkToFit="1"/>
    </xf>
    <xf numFmtId="2" fontId="13" fillId="46" borderId="128" xfId="43" applyNumberFormat="1" applyFont="1" applyFill="1" applyBorder="1" applyAlignment="1">
      <alignment horizontal="center" vertical="center" wrapText="1" shrinkToFit="1"/>
    </xf>
    <xf numFmtId="3" fontId="149" fillId="0" borderId="108" xfId="0" applyNumberFormat="1" applyFont="1" applyBorder="1" applyAlignment="1">
      <alignment horizontal="right" vertical="top" wrapText="1"/>
    </xf>
    <xf numFmtId="3" fontId="149" fillId="0" borderId="110" xfId="0" applyNumberFormat="1" applyFont="1" applyBorder="1" applyAlignment="1">
      <alignment horizontal="right" vertical="top" wrapText="1"/>
    </xf>
    <xf numFmtId="0" fontId="149" fillId="0" borderId="111" xfId="0" applyFont="1" applyBorder="1" applyAlignment="1">
      <alignment vertical="top" wrapText="1"/>
    </xf>
    <xf numFmtId="0" fontId="149" fillId="0" borderId="112" xfId="0" applyFont="1" applyBorder="1" applyAlignment="1">
      <alignment vertical="top" wrapText="1"/>
    </xf>
    <xf numFmtId="3" fontId="149" fillId="0" borderId="112" xfId="0" applyNumberFormat="1" applyFont="1" applyBorder="1" applyAlignment="1">
      <alignment horizontal="right" vertical="top" wrapText="1"/>
    </xf>
    <xf numFmtId="0" fontId="193" fillId="0" borderId="0" xfId="0" applyFont="1" applyAlignment="1">
      <alignment vertical="center" wrapText="1"/>
    </xf>
    <xf numFmtId="0" fontId="68" fillId="0" borderId="0" xfId="7" applyAlignment="1">
      <alignment horizontal="left" vertical="center" wrapText="1" indent="1"/>
    </xf>
    <xf numFmtId="0" fontId="148" fillId="12" borderId="106" xfId="0" applyFont="1" applyFill="1" applyBorder="1" applyAlignment="1">
      <alignment horizontal="left" vertical="top"/>
    </xf>
    <xf numFmtId="0" fontId="148" fillId="12" borderId="107" xfId="0" applyFont="1" applyFill="1" applyBorder="1" applyAlignment="1">
      <alignment horizontal="left" vertical="top"/>
    </xf>
    <xf numFmtId="0" fontId="148" fillId="12" borderId="107" xfId="0" applyFont="1" applyFill="1" applyBorder="1" applyAlignment="1">
      <alignment horizontal="right" vertical="top"/>
    </xf>
    <xf numFmtId="0" fontId="149" fillId="12" borderId="0" xfId="0" applyFont="1" applyFill="1" applyAlignment="1">
      <alignment vertical="top" wrapText="1"/>
    </xf>
    <xf numFmtId="0" fontId="149" fillId="12" borderId="108" xfId="0" applyFont="1" applyFill="1" applyBorder="1" applyAlignment="1">
      <alignment vertical="top" wrapText="1"/>
    </xf>
    <xf numFmtId="0" fontId="149" fillId="12" borderId="108" xfId="0" applyFont="1" applyFill="1" applyBorder="1" applyAlignment="1">
      <alignment horizontal="right" vertical="top" wrapText="1"/>
    </xf>
    <xf numFmtId="0" fontId="149" fillId="12" borderId="109" xfId="0" applyFont="1" applyFill="1" applyBorder="1" applyAlignment="1">
      <alignment vertical="top" wrapText="1"/>
    </xf>
    <xf numFmtId="0" fontId="149" fillId="12" borderId="110" xfId="0" applyFont="1" applyFill="1" applyBorder="1" applyAlignment="1">
      <alignment vertical="top" wrapText="1"/>
    </xf>
    <xf numFmtId="0" fontId="149" fillId="12" borderId="110" xfId="0" applyFont="1" applyFill="1" applyBorder="1" applyAlignment="1">
      <alignment horizontal="right" vertical="top" wrapText="1"/>
    </xf>
    <xf numFmtId="3" fontId="149" fillId="12" borderId="110" xfId="0" applyNumberFormat="1" applyFont="1" applyFill="1" applyBorder="1" applyAlignment="1">
      <alignment horizontal="right" vertical="top" wrapText="1"/>
    </xf>
    <xf numFmtId="0" fontId="149" fillId="12" borderId="111" xfId="0" applyFont="1" applyFill="1" applyBorder="1" applyAlignment="1">
      <alignment vertical="top" wrapText="1"/>
    </xf>
    <xf numFmtId="0" fontId="149" fillId="12" borderId="112" xfId="0" applyFont="1" applyFill="1" applyBorder="1" applyAlignment="1">
      <alignment vertical="top" wrapText="1"/>
    </xf>
    <xf numFmtId="0" fontId="0" fillId="12" borderId="106" xfId="0" applyFill="1" applyBorder="1"/>
    <xf numFmtId="173" fontId="51" fillId="25" borderId="1" xfId="0" applyNumberFormat="1" applyFont="1" applyFill="1" applyBorder="1"/>
    <xf numFmtId="173" fontId="51" fillId="27" borderId="1" xfId="0" applyNumberFormat="1" applyFont="1" applyFill="1" applyBorder="1"/>
    <xf numFmtId="175" fontId="51" fillId="25" borderId="1" xfId="0" applyNumberFormat="1" applyFont="1" applyFill="1" applyBorder="1"/>
    <xf numFmtId="175" fontId="51" fillId="27" borderId="1" xfId="0" applyNumberFormat="1" applyFont="1" applyFill="1" applyBorder="1"/>
    <xf numFmtId="188" fontId="55" fillId="19" borderId="61" xfId="9" applyNumberFormat="1" applyFont="1" applyFill="1" applyBorder="1"/>
    <xf numFmtId="189" fontId="51" fillId="0" borderId="1" xfId="17" applyNumberFormat="1" applyFont="1" applyBorder="1"/>
    <xf numFmtId="185" fontId="51" fillId="0" borderId="1" xfId="17" applyNumberFormat="1" applyFont="1" applyBorder="1"/>
    <xf numFmtId="10" fontId="51" fillId="11" borderId="1" xfId="17" applyNumberFormat="1" applyFont="1" applyFill="1" applyBorder="1"/>
    <xf numFmtId="0" fontId="5" fillId="26" borderId="28" xfId="45" applyFill="1" applyBorder="1" applyAlignment="1">
      <alignment vertical="top" wrapText="1"/>
    </xf>
    <xf numFmtId="0" fontId="5" fillId="26" borderId="54" xfId="45" applyFill="1" applyBorder="1" applyAlignment="1">
      <alignment vertical="top" wrapText="1"/>
    </xf>
    <xf numFmtId="0" fontId="5" fillId="26" borderId="19" xfId="45" applyFill="1" applyBorder="1" applyAlignment="1">
      <alignment horizontal="left" vertical="top" wrapText="1"/>
    </xf>
    <xf numFmtId="0" fontId="5" fillId="26" borderId="19" xfId="45" applyFill="1" applyBorder="1" applyAlignment="1">
      <alignment vertical="top" wrapText="1"/>
    </xf>
    <xf numFmtId="168" fontId="5" fillId="26" borderId="19" xfId="45" applyNumberFormat="1" applyFill="1" applyBorder="1" applyAlignment="1">
      <alignment vertical="top" wrapText="1"/>
    </xf>
    <xf numFmtId="0" fontId="5" fillId="26" borderId="49" xfId="45" applyFill="1" applyBorder="1" applyAlignment="1">
      <alignment vertical="top" wrapText="1"/>
    </xf>
    <xf numFmtId="168" fontId="5" fillId="26" borderId="61" xfId="45" applyNumberFormat="1" applyFill="1" applyBorder="1" applyAlignment="1">
      <alignment vertical="top" wrapText="1"/>
    </xf>
    <xf numFmtId="1" fontId="5" fillId="26" borderId="74" xfId="45" applyNumberFormat="1" applyFill="1" applyBorder="1" applyAlignment="1">
      <alignment vertical="top" wrapText="1"/>
    </xf>
    <xf numFmtId="169" fontId="5" fillId="26" borderId="19" xfId="45" applyNumberFormat="1" applyFill="1" applyBorder="1" applyAlignment="1">
      <alignment vertical="top" wrapText="1"/>
    </xf>
    <xf numFmtId="2" fontId="5" fillId="26" borderId="19" xfId="45" applyNumberFormat="1" applyFill="1" applyBorder="1" applyAlignment="1">
      <alignment vertical="top" wrapText="1"/>
    </xf>
    <xf numFmtId="0" fontId="5" fillId="0" borderId="0" xfId="45"/>
    <xf numFmtId="0" fontId="5" fillId="26" borderId="28" xfId="45" applyFill="1" applyBorder="1"/>
    <xf numFmtId="0" fontId="5" fillId="26" borderId="31" xfId="45" applyFill="1" applyBorder="1" applyAlignment="1">
      <alignment vertical="top"/>
    </xf>
    <xf numFmtId="0" fontId="5" fillId="26" borderId="49" xfId="45" applyFill="1" applyBorder="1" applyAlignment="1">
      <alignment vertical="top"/>
    </xf>
    <xf numFmtId="0" fontId="5" fillId="26" borderId="23" xfId="45" applyFill="1" applyBorder="1" applyAlignment="1">
      <alignment vertical="top" wrapText="1"/>
    </xf>
    <xf numFmtId="168" fontId="5" fillId="26" borderId="23" xfId="45" applyNumberFormat="1" applyFill="1" applyBorder="1" applyAlignment="1">
      <alignment vertical="top"/>
    </xf>
    <xf numFmtId="0" fontId="5" fillId="26" borderId="49" xfId="45" applyFill="1" applyBorder="1"/>
    <xf numFmtId="168" fontId="5" fillId="26" borderId="57" xfId="45" applyNumberFormat="1" applyFill="1" applyBorder="1" applyAlignment="1">
      <alignment vertical="top"/>
    </xf>
    <xf numFmtId="1" fontId="5" fillId="26" borderId="52" xfId="45" applyNumberFormat="1" applyFill="1" applyBorder="1" applyAlignment="1">
      <alignment vertical="top"/>
    </xf>
    <xf numFmtId="169" fontId="5" fillId="26" borderId="23" xfId="45" applyNumberFormat="1" applyFill="1" applyBorder="1" applyAlignment="1">
      <alignment vertical="top"/>
    </xf>
    <xf numFmtId="2" fontId="5" fillId="26" borderId="23" xfId="45" applyNumberFormat="1" applyFill="1" applyBorder="1" applyAlignment="1">
      <alignment vertical="top"/>
    </xf>
    <xf numFmtId="2" fontId="5" fillId="26" borderId="1" xfId="45" applyNumberFormat="1" applyFill="1" applyBorder="1" applyAlignment="1">
      <alignment vertical="top"/>
    </xf>
    <xf numFmtId="0" fontId="5" fillId="51" borderId="2" xfId="45" applyFill="1" applyBorder="1"/>
    <xf numFmtId="0" fontId="5" fillId="51" borderId="1" xfId="45" applyFill="1" applyBorder="1"/>
    <xf numFmtId="4" fontId="5" fillId="51" borderId="1" xfId="45" applyNumberFormat="1" applyFill="1" applyBorder="1"/>
    <xf numFmtId="168" fontId="5" fillId="51" borderId="1" xfId="45" applyNumberFormat="1" applyFill="1" applyBorder="1"/>
    <xf numFmtId="1" fontId="5" fillId="26" borderId="1" xfId="45" applyNumberFormat="1" applyFill="1" applyBorder="1"/>
    <xf numFmtId="169" fontId="5" fillId="26" borderId="1" xfId="45" applyNumberFormat="1" applyFill="1" applyBorder="1"/>
    <xf numFmtId="168" fontId="5" fillId="26" borderId="1" xfId="45" applyNumberFormat="1" applyFill="1" applyBorder="1"/>
    <xf numFmtId="0" fontId="194" fillId="51" borderId="1" xfId="45" applyFont="1" applyFill="1" applyBorder="1"/>
    <xf numFmtId="2" fontId="5" fillId="26" borderId="1" xfId="45" applyNumberFormat="1" applyFill="1" applyBorder="1"/>
    <xf numFmtId="0" fontId="5" fillId="0" borderId="0" xfId="45" applyAlignment="1">
      <alignment wrapText="1"/>
    </xf>
    <xf numFmtId="0" fontId="5" fillId="34" borderId="3" xfId="45" applyFill="1" applyBorder="1"/>
    <xf numFmtId="0" fontId="5" fillId="26" borderId="25" xfId="45" applyFill="1" applyBorder="1"/>
    <xf numFmtId="0" fontId="5" fillId="26" borderId="152" xfId="45" applyFill="1" applyBorder="1"/>
    <xf numFmtId="4" fontId="5" fillId="26" borderId="3" xfId="45" applyNumberFormat="1" applyFill="1" applyBorder="1"/>
    <xf numFmtId="168" fontId="5" fillId="34" borderId="3" xfId="45" applyNumberFormat="1" applyFill="1" applyBorder="1"/>
    <xf numFmtId="1" fontId="5" fillId="34" borderId="3" xfId="45" applyNumberFormat="1" applyFill="1" applyBorder="1"/>
    <xf numFmtId="169" fontId="5" fillId="26" borderId="3" xfId="45" applyNumberFormat="1" applyFill="1" applyBorder="1"/>
    <xf numFmtId="169" fontId="5" fillId="34" borderId="3" xfId="45" applyNumberFormat="1" applyFill="1" applyBorder="1"/>
    <xf numFmtId="2" fontId="5" fillId="34" borderId="3" xfId="45" applyNumberFormat="1" applyFill="1" applyBorder="1"/>
    <xf numFmtId="168" fontId="5" fillId="26" borderId="3" xfId="45" applyNumberFormat="1" applyFill="1" applyBorder="1"/>
    <xf numFmtId="0" fontId="5" fillId="34" borderId="56" xfId="45" applyFill="1" applyBorder="1"/>
    <xf numFmtId="0" fontId="5" fillId="34" borderId="2" xfId="45" applyFill="1" applyBorder="1"/>
    <xf numFmtId="0" fontId="196" fillId="34" borderId="2" xfId="45" applyFont="1" applyFill="1" applyBorder="1"/>
    <xf numFmtId="168" fontId="5" fillId="34" borderId="2" xfId="45" applyNumberFormat="1" applyFill="1" applyBorder="1"/>
    <xf numFmtId="169" fontId="5" fillId="34" borderId="2" xfId="45" applyNumberFormat="1" applyFill="1" applyBorder="1"/>
    <xf numFmtId="2" fontId="5" fillId="34" borderId="2" xfId="45" applyNumberFormat="1" applyFill="1" applyBorder="1"/>
    <xf numFmtId="2" fontId="5" fillId="26" borderId="2" xfId="45" applyNumberFormat="1" applyFill="1" applyBorder="1"/>
    <xf numFmtId="168" fontId="5" fillId="26" borderId="2" xfId="45" applyNumberFormat="1" applyFill="1" applyBorder="1"/>
    <xf numFmtId="168" fontId="5" fillId="0" borderId="0" xfId="45" applyNumberFormat="1"/>
    <xf numFmtId="1" fontId="5" fillId="0" borderId="0" xfId="45" applyNumberFormat="1"/>
    <xf numFmtId="169" fontId="5" fillId="0" borderId="0" xfId="45" applyNumberFormat="1"/>
    <xf numFmtId="2" fontId="5" fillId="0" borderId="0" xfId="45" applyNumberFormat="1"/>
    <xf numFmtId="0" fontId="4" fillId="51" borderId="1" xfId="45" applyFont="1" applyFill="1" applyBorder="1"/>
    <xf numFmtId="171" fontId="5" fillId="51" borderId="1" xfId="45" applyNumberFormat="1" applyFill="1" applyBorder="1"/>
    <xf numFmtId="0" fontId="3" fillId="0" borderId="131" xfId="46" applyBorder="1" applyAlignment="1">
      <alignment vertical="top" wrapText="1"/>
    </xf>
    <xf numFmtId="0" fontId="3" fillId="0" borderId="54" xfId="46" applyBorder="1" applyAlignment="1">
      <alignment vertical="top" wrapText="1"/>
    </xf>
    <xf numFmtId="0" fontId="3" fillId="0" borderId="54" xfId="46" applyBorder="1" applyAlignment="1">
      <alignment horizontal="left" vertical="top" wrapText="1"/>
    </xf>
    <xf numFmtId="0" fontId="3" fillId="0" borderId="23" xfId="46" applyBorder="1" applyAlignment="1">
      <alignment vertical="top" wrapText="1"/>
    </xf>
    <xf numFmtId="0" fontId="3" fillId="0" borderId="0" xfId="46"/>
    <xf numFmtId="0" fontId="3" fillId="0" borderId="2" xfId="46" applyBorder="1" applyAlignment="1">
      <alignment vertical="top"/>
    </xf>
    <xf numFmtId="0" fontId="3" fillId="0" borderId="49" xfId="46" applyBorder="1" applyAlignment="1">
      <alignment vertical="top" wrapText="1"/>
    </xf>
    <xf numFmtId="0" fontId="3" fillId="0" borderId="0" xfId="46" applyAlignment="1">
      <alignment vertical="top" wrapText="1"/>
    </xf>
    <xf numFmtId="0" fontId="3" fillId="0" borderId="49" xfId="46" applyBorder="1" applyAlignment="1">
      <alignment horizontal="center" vertical="top"/>
    </xf>
    <xf numFmtId="0" fontId="3" fillId="0" borderId="0" xfId="46" applyAlignment="1">
      <alignment horizontal="center" vertical="top"/>
    </xf>
    <xf numFmtId="0" fontId="3" fillId="0" borderId="49" xfId="46" applyBorder="1" applyAlignment="1">
      <alignment horizontal="right" vertical="top"/>
    </xf>
    <xf numFmtId="0" fontId="3" fillId="0" borderId="28" xfId="46" applyBorder="1" applyAlignment="1">
      <alignment horizontal="center" vertical="top"/>
    </xf>
    <xf numFmtId="0" fontId="3" fillId="0" borderId="55" xfId="46" applyBorder="1" applyAlignment="1">
      <alignment vertical="top"/>
    </xf>
    <xf numFmtId="0" fontId="3" fillId="0" borderId="1" xfId="46" applyBorder="1" applyAlignment="1">
      <alignment vertical="top"/>
    </xf>
    <xf numFmtId="4" fontId="3" fillId="0" borderId="1" xfId="46" applyNumberFormat="1" applyBorder="1" applyAlignment="1">
      <alignment vertical="top"/>
    </xf>
    <xf numFmtId="168" fontId="3" fillId="0" borderId="1" xfId="46" applyNumberFormat="1" applyBorder="1" applyAlignment="1">
      <alignment vertical="top"/>
    </xf>
    <xf numFmtId="169" fontId="3" fillId="0" borderId="1" xfId="46" applyNumberFormat="1" applyBorder="1" applyAlignment="1">
      <alignment vertical="top"/>
    </xf>
    <xf numFmtId="168" fontId="3" fillId="0" borderId="1" xfId="46" applyNumberFormat="1" applyBorder="1" applyAlignment="1">
      <alignment horizontal="right" vertical="top"/>
    </xf>
    <xf numFmtId="0" fontId="3" fillId="0" borderId="152" xfId="46" applyBorder="1"/>
    <xf numFmtId="0" fontId="3" fillId="19" borderId="3" xfId="46" applyFill="1" applyBorder="1"/>
    <xf numFmtId="2" fontId="3" fillId="0" borderId="3" xfId="46" applyNumberFormat="1" applyBorder="1"/>
    <xf numFmtId="168" fontId="3" fillId="0" borderId="3" xfId="46" applyNumberFormat="1" applyBorder="1"/>
    <xf numFmtId="0" fontId="3" fillId="19" borderId="56" xfId="46" applyFill="1" applyBorder="1"/>
    <xf numFmtId="0" fontId="3" fillId="0" borderId="0" xfId="46" applyAlignment="1">
      <alignment horizontal="right"/>
    </xf>
    <xf numFmtId="0" fontId="3" fillId="26" borderId="1" xfId="46" applyFill="1" applyBorder="1" applyAlignment="1">
      <alignment wrapText="1"/>
    </xf>
    <xf numFmtId="0" fontId="197" fillId="26" borderId="23" xfId="46" applyFont="1" applyFill="1" applyBorder="1" applyAlignment="1">
      <alignment horizontal="center" vertical="top" wrapText="1"/>
    </xf>
    <xf numFmtId="0" fontId="71" fillId="26" borderId="1" xfId="46" applyFont="1" applyFill="1" applyBorder="1" applyAlignment="1">
      <alignment wrapText="1"/>
    </xf>
    <xf numFmtId="2" fontId="3" fillId="26" borderId="1" xfId="46" applyNumberFormat="1" applyFill="1" applyBorder="1" applyAlignment="1">
      <alignment wrapText="1"/>
    </xf>
    <xf numFmtId="168" fontId="3" fillId="26" borderId="1" xfId="46" applyNumberFormat="1" applyFill="1" applyBorder="1" applyAlignment="1">
      <alignment wrapText="1"/>
    </xf>
    <xf numFmtId="2" fontId="0" fillId="23" borderId="0" xfId="0" applyNumberFormat="1" applyFill="1"/>
    <xf numFmtId="2" fontId="62" fillId="23" borderId="0" xfId="47" applyNumberFormat="1" applyFont="1" applyFill="1"/>
    <xf numFmtId="179" fontId="62" fillId="23" borderId="0" xfId="47" applyNumberFormat="1" applyFont="1" applyFill="1"/>
    <xf numFmtId="2" fontId="0" fillId="23" borderId="96" xfId="0" applyNumberFormat="1" applyFill="1" applyBorder="1"/>
    <xf numFmtId="2" fontId="62" fillId="23" borderId="96" xfId="47" applyNumberFormat="1" applyFont="1" applyFill="1" applyBorder="1"/>
    <xf numFmtId="179" fontId="62" fillId="23" borderId="96" xfId="47" applyNumberFormat="1" applyFont="1" applyFill="1" applyBorder="1"/>
    <xf numFmtId="2" fontId="116" fillId="23" borderId="101" xfId="0" applyNumberFormat="1" applyFont="1" applyFill="1" applyBorder="1" applyAlignment="1">
      <alignment horizontal="center" vertical="top" wrapText="1"/>
    </xf>
    <xf numFmtId="2" fontId="116" fillId="23" borderId="102" xfId="0" applyNumberFormat="1" applyFont="1" applyFill="1" applyBorder="1" applyAlignment="1">
      <alignment horizontal="center" vertical="top" wrapText="1"/>
    </xf>
    <xf numFmtId="2" fontId="118" fillId="19" borderId="100" xfId="0" applyNumberFormat="1" applyFont="1" applyFill="1" applyBorder="1" applyAlignment="1">
      <alignment horizontal="center" vertical="top" wrapText="1"/>
    </xf>
    <xf numFmtId="0" fontId="116" fillId="0" borderId="1" xfId="0" applyFont="1" applyBorder="1" applyAlignment="1">
      <alignment horizontal="center" vertical="top"/>
    </xf>
    <xf numFmtId="0" fontId="118" fillId="19" borderId="100" xfId="0" applyFont="1" applyFill="1" applyBorder="1" applyAlignment="1">
      <alignment vertical="top"/>
    </xf>
    <xf numFmtId="0" fontId="118" fillId="19" borderId="100" xfId="0" applyFont="1" applyFill="1" applyBorder="1" applyAlignment="1">
      <alignment horizontal="center" vertical="top"/>
    </xf>
    <xf numFmtId="2" fontId="118" fillId="19" borderId="100" xfId="0" applyNumberFormat="1" applyFont="1" applyFill="1" applyBorder="1" applyAlignment="1">
      <alignment horizontal="center" vertical="top"/>
    </xf>
    <xf numFmtId="169" fontId="118" fillId="19" borderId="100" xfId="0" applyNumberFormat="1" applyFont="1" applyFill="1" applyBorder="1" applyAlignment="1">
      <alignment horizontal="center" vertical="top"/>
    </xf>
    <xf numFmtId="169" fontId="116" fillId="19" borderId="100" xfId="0" applyNumberFormat="1" applyFont="1" applyFill="1" applyBorder="1" applyAlignment="1">
      <alignment horizontal="center" vertical="top"/>
    </xf>
    <xf numFmtId="0" fontId="118" fillId="0" borderId="0" xfId="0" applyFont="1" applyAlignment="1">
      <alignment horizontal="center" vertical="top"/>
    </xf>
    <xf numFmtId="0" fontId="118" fillId="19" borderId="1" xfId="0" applyFont="1" applyFill="1" applyBorder="1" applyAlignment="1">
      <alignment horizontal="center" vertical="top"/>
    </xf>
    <xf numFmtId="0" fontId="118" fillId="19" borderId="1" xfId="0" applyFont="1" applyFill="1" applyBorder="1" applyAlignment="1">
      <alignment vertical="top"/>
    </xf>
    <xf numFmtId="0" fontId="118" fillId="19" borderId="102" xfId="0" applyFont="1" applyFill="1" applyBorder="1" applyAlignment="1">
      <alignment horizontal="center" vertical="top"/>
    </xf>
    <xf numFmtId="2" fontId="118" fillId="19" borderId="1" xfId="0" applyNumberFormat="1" applyFont="1" applyFill="1" applyBorder="1" applyAlignment="1">
      <alignment horizontal="center" vertical="top"/>
    </xf>
    <xf numFmtId="0" fontId="118" fillId="0" borderId="1" xfId="0" applyFont="1" applyBorder="1" applyAlignment="1">
      <alignment horizontal="center" vertical="top"/>
    </xf>
    <xf numFmtId="173" fontId="118" fillId="19" borderId="100" xfId="0" applyNumberFormat="1" applyFont="1" applyFill="1" applyBorder="1" applyAlignment="1">
      <alignment horizontal="center" vertical="top"/>
    </xf>
    <xf numFmtId="2" fontId="51" fillId="23" borderId="103" xfId="0" applyNumberFormat="1" applyFont="1" applyFill="1" applyBorder="1"/>
    <xf numFmtId="2" fontId="51" fillId="23" borderId="103" xfId="47" applyNumberFormat="1" applyFont="1" applyFill="1" applyBorder="1"/>
    <xf numFmtId="2" fontId="51" fillId="0" borderId="0" xfId="47" applyNumberFormat="1" applyFont="1" applyFill="1" applyBorder="1"/>
    <xf numFmtId="2" fontId="114" fillId="23" borderId="0" xfId="47" applyNumberFormat="1" applyFont="1" applyFill="1"/>
    <xf numFmtId="179" fontId="114" fillId="23" borderId="0" xfId="47" applyNumberFormat="1" applyFont="1" applyFill="1"/>
    <xf numFmtId="2" fontId="62" fillId="0" borderId="0" xfId="47" applyNumberFormat="1" applyFont="1"/>
    <xf numFmtId="179" fontId="62" fillId="0" borderId="0" xfId="47" applyNumberFormat="1" applyFont="1"/>
    <xf numFmtId="0" fontId="199" fillId="10" borderId="1" xfId="0" applyFont="1" applyFill="1" applyBorder="1" applyAlignment="1">
      <alignment horizontal="center" vertical="top"/>
    </xf>
    <xf numFmtId="0" fontId="126" fillId="10" borderId="1" xfId="0" applyFont="1" applyFill="1" applyBorder="1" applyAlignment="1">
      <alignment horizontal="center" vertical="top" wrapText="1"/>
    </xf>
    <xf numFmtId="0" fontId="126" fillId="10" borderId="101" xfId="0" applyFont="1" applyFill="1" applyBorder="1" applyAlignment="1">
      <alignment vertical="top" wrapText="1"/>
    </xf>
    <xf numFmtId="0" fontId="126" fillId="10" borderId="153" xfId="0" applyFont="1" applyFill="1" applyBorder="1" applyAlignment="1">
      <alignment vertical="top" wrapText="1"/>
    </xf>
    <xf numFmtId="0" fontId="126" fillId="10" borderId="100" xfId="0" applyFont="1" applyFill="1" applyBorder="1" applyAlignment="1">
      <alignment horizontal="center" vertical="top" wrapText="1"/>
    </xf>
    <xf numFmtId="0" fontId="126" fillId="10" borderId="1" xfId="0" applyFont="1" applyFill="1" applyBorder="1" applyAlignment="1">
      <alignment horizontal="center" vertical="top"/>
    </xf>
    <xf numFmtId="0" fontId="126" fillId="10" borderId="1" xfId="0" applyFont="1" applyFill="1" applyBorder="1" applyAlignment="1">
      <alignment vertical="top"/>
    </xf>
    <xf numFmtId="0" fontId="126" fillId="10" borderId="102" xfId="0" applyFont="1" applyFill="1" applyBorder="1" applyAlignment="1">
      <alignment horizontal="center" vertical="top"/>
    </xf>
    <xf numFmtId="2" fontId="126" fillId="10" borderId="100" xfId="0" applyNumberFormat="1" applyFont="1" applyFill="1" applyBorder="1" applyAlignment="1">
      <alignment horizontal="center" vertical="top"/>
    </xf>
    <xf numFmtId="2" fontId="200" fillId="0" borderId="100" xfId="0" applyNumberFormat="1" applyFont="1" applyBorder="1" applyAlignment="1">
      <alignment horizontal="center"/>
    </xf>
    <xf numFmtId="189" fontId="118" fillId="19" borderId="1" xfId="0" applyNumberFormat="1" applyFont="1" applyFill="1" applyBorder="1" applyAlignment="1">
      <alignment horizontal="center" vertical="top"/>
    </xf>
    <xf numFmtId="185" fontId="118" fillId="19" borderId="1" xfId="0" applyNumberFormat="1" applyFont="1" applyFill="1" applyBorder="1" applyAlignment="1">
      <alignment horizontal="center" vertical="top"/>
    </xf>
    <xf numFmtId="0" fontId="116" fillId="10" borderId="1" xfId="0" applyFont="1" applyFill="1" applyBorder="1" applyAlignment="1">
      <alignment horizontal="center" vertical="top" wrapText="1"/>
    </xf>
    <xf numFmtId="0" fontId="116" fillId="10" borderId="101" xfId="0" applyFont="1" applyFill="1" applyBorder="1" applyAlignment="1">
      <alignment vertical="top" wrapText="1"/>
    </xf>
    <xf numFmtId="0" fontId="116" fillId="10" borderId="153" xfId="0" applyFont="1" applyFill="1" applyBorder="1" applyAlignment="1">
      <alignment vertical="top" wrapText="1"/>
    </xf>
    <xf numFmtId="0" fontId="116" fillId="10" borderId="100" xfId="0" applyFont="1" applyFill="1" applyBorder="1" applyAlignment="1">
      <alignment horizontal="center" vertical="top" wrapText="1"/>
    </xf>
    <xf numFmtId="2" fontId="116" fillId="10" borderId="1" xfId="0" applyNumberFormat="1" applyFont="1" applyFill="1" applyBorder="1" applyAlignment="1">
      <alignment horizontal="center" vertical="top" wrapText="1"/>
    </xf>
    <xf numFmtId="173" fontId="116" fillId="19" borderId="1" xfId="0" applyNumberFormat="1" applyFont="1" applyFill="1" applyBorder="1" applyAlignment="1">
      <alignment horizontal="center" vertical="top"/>
    </xf>
    <xf numFmtId="0" fontId="118" fillId="19" borderId="101" xfId="0" applyFont="1" applyFill="1" applyBorder="1" applyAlignment="1">
      <alignment horizontal="center" vertical="top" wrapText="1"/>
    </xf>
    <xf numFmtId="0" fontId="116" fillId="0" borderId="1" xfId="0" applyFont="1" applyBorder="1" applyAlignment="1">
      <alignment horizontal="center" vertical="center" wrapText="1"/>
    </xf>
    <xf numFmtId="0" fontId="201" fillId="19" borderId="1" xfId="0" applyFont="1" applyFill="1" applyBorder="1" applyAlignment="1">
      <alignment horizontal="right"/>
    </xf>
    <xf numFmtId="1" fontId="116" fillId="19" borderId="1" xfId="0" applyNumberFormat="1" applyFont="1" applyFill="1" applyBorder="1" applyAlignment="1">
      <alignment horizontal="center" vertical="top"/>
    </xf>
    <xf numFmtId="9" fontId="116" fillId="19" borderId="1" xfId="17" applyFont="1" applyFill="1" applyBorder="1" applyAlignment="1">
      <alignment horizontal="center" vertical="top"/>
    </xf>
    <xf numFmtId="1" fontId="116" fillId="51" borderId="1" xfId="0" applyNumberFormat="1" applyFont="1" applyFill="1" applyBorder="1" applyAlignment="1">
      <alignment horizontal="center" vertical="top"/>
    </xf>
    <xf numFmtId="10" fontId="116" fillId="19" borderId="1" xfId="17" applyNumberFormat="1" applyFont="1" applyFill="1" applyBorder="1" applyAlignment="1">
      <alignment horizontal="center" vertical="top"/>
    </xf>
    <xf numFmtId="0" fontId="14" fillId="41" borderId="125" xfId="24" applyFill="1" applyBorder="1" applyAlignment="1">
      <alignment horizontal="center" vertical="center"/>
    </xf>
    <xf numFmtId="0" fontId="14" fillId="41" borderId="126" xfId="24" applyFill="1" applyBorder="1" applyAlignment="1">
      <alignment horizontal="center" vertical="center"/>
    </xf>
    <xf numFmtId="0" fontId="38" fillId="0" borderId="1" xfId="12" applyFont="1" applyBorder="1" applyAlignment="1">
      <alignment horizontal="center"/>
    </xf>
    <xf numFmtId="168" fontId="14" fillId="41" borderId="59" xfId="24" applyNumberFormat="1" applyFill="1" applyBorder="1" applyAlignment="1">
      <alignment horizontal="center" vertical="center"/>
    </xf>
    <xf numFmtId="0" fontId="14" fillId="41" borderId="29" xfId="24" applyFill="1" applyBorder="1" applyAlignment="1">
      <alignment horizontal="center" vertical="center"/>
    </xf>
    <xf numFmtId="0" fontId="14" fillId="42" borderId="32" xfId="27" applyBorder="1" applyAlignment="1">
      <alignment horizontal="center"/>
    </xf>
    <xf numFmtId="0" fontId="14" fillId="0" borderId="32" xfId="27" applyFill="1" applyBorder="1" applyAlignment="1">
      <alignment horizontal="center"/>
    </xf>
    <xf numFmtId="0" fontId="14" fillId="41" borderId="2" xfId="24" applyFill="1" applyBorder="1" applyAlignment="1">
      <alignment horizontal="center" vertical="center"/>
    </xf>
    <xf numFmtId="0" fontId="14" fillId="44" borderId="71" xfId="27" applyFill="1" applyBorder="1" applyAlignment="1">
      <alignment horizontal="center"/>
    </xf>
    <xf numFmtId="2" fontId="13" fillId="0" borderId="127" xfId="24" applyNumberFormat="1" applyFont="1" applyBorder="1" applyAlignment="1">
      <alignment horizontal="center" vertical="center"/>
    </xf>
    <xf numFmtId="0" fontId="14" fillId="3" borderId="32" xfId="32" applyFill="1" applyBorder="1" applyAlignment="1">
      <alignment horizontal="center" vertical="center"/>
    </xf>
    <xf numFmtId="0" fontId="14" fillId="3" borderId="1" xfId="31" applyFill="1" applyAlignment="1">
      <alignment horizontal="center" vertical="center"/>
    </xf>
    <xf numFmtId="0" fontId="14" fillId="41" borderId="1" xfId="31" applyFill="1" applyAlignment="1">
      <alignment horizontal="center" vertical="center"/>
    </xf>
    <xf numFmtId="0" fontId="14" fillId="41" borderId="59" xfId="31" applyFill="1" applyBorder="1" applyAlignment="1">
      <alignment horizontal="center" vertical="center"/>
    </xf>
    <xf numFmtId="0" fontId="13" fillId="41" borderId="52" xfId="25" applyFill="1" applyBorder="1" applyAlignment="1" applyProtection="1">
      <alignment horizontal="center" vertical="center"/>
    </xf>
    <xf numFmtId="0" fontId="14" fillId="41" borderId="128" xfId="31" applyFill="1" applyBorder="1" applyAlignment="1">
      <alignment horizontal="center" vertical="center"/>
    </xf>
    <xf numFmtId="2" fontId="13" fillId="46" borderId="137" xfId="36" applyNumberFormat="1" applyFont="1" applyBorder="1" applyAlignment="1">
      <alignment horizontal="center" vertical="center"/>
    </xf>
    <xf numFmtId="169" fontId="14" fillId="46" borderId="32" xfId="36" applyNumberFormat="1" applyFont="1" applyBorder="1" applyAlignment="1">
      <alignment horizontal="center" vertical="center"/>
    </xf>
    <xf numFmtId="166" fontId="14" fillId="42" borderId="29" xfId="26" applyNumberFormat="1" applyFont="1" applyBorder="1" applyAlignment="1" applyProtection="1">
      <alignment horizontal="center" vertical="center"/>
    </xf>
    <xf numFmtId="0" fontId="14" fillId="42" borderId="29" xfId="26" applyFont="1" applyBorder="1" applyAlignment="1" applyProtection="1">
      <alignment horizontal="center" vertical="center"/>
    </xf>
    <xf numFmtId="0" fontId="14" fillId="46" borderId="32" xfId="36" applyFont="1" applyBorder="1" applyAlignment="1">
      <alignment horizontal="center" vertical="center"/>
    </xf>
    <xf numFmtId="3" fontId="14" fillId="42" borderId="2" xfId="26" applyNumberFormat="1" applyFont="1" applyBorder="1" applyAlignment="1" applyProtection="1">
      <alignment horizontal="center" vertical="center"/>
    </xf>
    <xf numFmtId="0" fontId="14" fillId="46" borderId="36" xfId="36" applyFont="1" applyBorder="1" applyAlignment="1">
      <alignment horizontal="center" vertical="center"/>
    </xf>
    <xf numFmtId="0" fontId="14" fillId="46" borderId="5" xfId="36" applyFont="1" applyAlignment="1">
      <alignment horizontal="center" vertical="center"/>
    </xf>
    <xf numFmtId="169" fontId="45" fillId="46" borderId="138" xfId="36" applyNumberFormat="1" applyBorder="1">
      <alignment horizontal="right" vertical="center"/>
    </xf>
    <xf numFmtId="0" fontId="45" fillId="46" borderId="59" xfId="36" applyBorder="1" applyAlignment="1">
      <alignment horizontal="center" vertical="center"/>
    </xf>
    <xf numFmtId="0" fontId="45" fillId="0" borderId="138" xfId="36" applyFill="1" applyBorder="1" applyAlignment="1">
      <alignment horizontal="center" vertical="center"/>
    </xf>
    <xf numFmtId="173" fontId="45" fillId="46" borderId="58" xfId="36" applyNumberFormat="1" applyBorder="1" applyAlignment="1">
      <alignment horizontal="center" vertical="center"/>
    </xf>
    <xf numFmtId="173" fontId="14" fillId="42" borderId="59" xfId="27" applyNumberFormat="1" applyBorder="1" applyAlignment="1">
      <alignment horizontal="center"/>
    </xf>
    <xf numFmtId="173" fontId="45" fillId="46" borderId="59" xfId="36" applyNumberFormat="1" applyBorder="1" applyAlignment="1">
      <alignment horizontal="center" vertical="center"/>
    </xf>
    <xf numFmtId="173" fontId="45" fillId="43" borderId="59" xfId="36" applyNumberFormat="1" applyFill="1" applyBorder="1" applyAlignment="1">
      <alignment horizontal="center" vertical="center"/>
    </xf>
    <xf numFmtId="173" fontId="14" fillId="42" borderId="13" xfId="37" applyNumberFormat="1" applyFill="1" applyBorder="1" applyAlignment="1">
      <alignment horizontal="center" vertical="center"/>
    </xf>
    <xf numFmtId="173" fontId="14" fillId="42" borderId="65" xfId="37" applyNumberFormat="1" applyFill="1" applyBorder="1" applyAlignment="1">
      <alignment horizontal="center" vertical="center"/>
    </xf>
    <xf numFmtId="1" fontId="45" fillId="46" borderId="55" xfId="24" applyNumberFormat="1" applyFont="1" applyFill="1" applyBorder="1" applyAlignment="1">
      <alignment horizontal="center" vertical="center"/>
    </xf>
    <xf numFmtId="1" fontId="186" fillId="46" borderId="55" xfId="24" applyNumberFormat="1" applyFont="1" applyFill="1" applyBorder="1" applyAlignment="1">
      <alignment horizontal="center" vertical="center"/>
    </xf>
    <xf numFmtId="1" fontId="174" fillId="46" borderId="55" xfId="24" applyNumberFormat="1" applyFont="1" applyFill="1" applyBorder="1" applyAlignment="1">
      <alignment horizontal="center" vertical="center"/>
    </xf>
    <xf numFmtId="0" fontId="45" fillId="46" borderId="138" xfId="36" applyBorder="1" applyAlignment="1">
      <alignment horizontal="center" vertical="center"/>
    </xf>
    <xf numFmtId="1" fontId="45" fillId="46" borderId="55" xfId="24" applyNumberFormat="1" applyFont="1" applyFill="1" applyBorder="1" applyAlignment="1">
      <alignment vertical="center"/>
    </xf>
    <xf numFmtId="0" fontId="45" fillId="46" borderId="4" xfId="24" applyFont="1" applyFill="1" applyBorder="1" applyAlignment="1">
      <alignment horizontal="center" vertical="center"/>
    </xf>
    <xf numFmtId="0" fontId="18" fillId="0" borderId="4" xfId="12" applyBorder="1" applyAlignment="1">
      <alignment horizontal="center"/>
    </xf>
    <xf numFmtId="0" fontId="174" fillId="46" borderId="55" xfId="24" applyFont="1" applyFill="1" applyBorder="1" applyAlignment="1">
      <alignment horizontal="center" vertical="center"/>
    </xf>
    <xf numFmtId="0" fontId="14" fillId="0" borderId="74" xfId="24" applyBorder="1" applyAlignment="1">
      <alignment horizontal="center" vertical="center"/>
    </xf>
    <xf numFmtId="2" fontId="13" fillId="46" borderId="123" xfId="24" applyNumberFormat="1" applyFont="1" applyFill="1" applyBorder="1" applyAlignment="1">
      <alignment horizontal="center" vertical="center"/>
    </xf>
    <xf numFmtId="0" fontId="14" fillId="0" borderId="138" xfId="24" applyBorder="1" applyAlignment="1">
      <alignment horizontal="center" vertical="center"/>
    </xf>
    <xf numFmtId="2" fontId="14" fillId="0" borderId="55" xfId="24" applyNumberFormat="1" applyBorder="1" applyAlignment="1">
      <alignment horizontal="right" vertical="center"/>
    </xf>
    <xf numFmtId="0" fontId="14" fillId="0" borderId="5" xfId="24" applyBorder="1" applyAlignment="1">
      <alignment horizontal="center" vertical="center"/>
    </xf>
    <xf numFmtId="0" fontId="14" fillId="46" borderId="5" xfId="26" applyFont="1" applyFill="1" applyBorder="1" applyAlignment="1" applyProtection="1">
      <alignment horizontal="center" vertical="center"/>
    </xf>
    <xf numFmtId="0" fontId="14" fillId="46" borderId="20" xfId="26" applyFont="1" applyFill="1" applyBorder="1" applyAlignment="1" applyProtection="1">
      <alignment horizontal="center" vertical="center"/>
    </xf>
    <xf numFmtId="0" fontId="14" fillId="0" borderId="24" xfId="24" applyBorder="1" applyAlignment="1">
      <alignment horizontal="center" vertical="center"/>
    </xf>
    <xf numFmtId="0" fontId="14" fillId="0" borderId="56" xfId="24" applyBorder="1" applyAlignment="1">
      <alignment horizontal="center" vertical="center"/>
    </xf>
    <xf numFmtId="173" fontId="14" fillId="46" borderId="74" xfId="24" applyNumberFormat="1" applyFill="1" applyBorder="1" applyAlignment="1">
      <alignment horizontal="center" vertical="center"/>
    </xf>
    <xf numFmtId="173" fontId="14" fillId="46" borderId="20" xfId="24" applyNumberFormat="1" applyFill="1" applyBorder="1" applyAlignment="1">
      <alignment horizontal="center" vertical="center"/>
    </xf>
    <xf numFmtId="173" fontId="14" fillId="0" borderId="52" xfId="24" applyNumberFormat="1" applyBorder="1" applyAlignment="1">
      <alignment horizontal="center" vertical="center"/>
    </xf>
    <xf numFmtId="173" fontId="14" fillId="0" borderId="24" xfId="24" applyNumberFormat="1" applyBorder="1" applyAlignment="1">
      <alignment horizontal="center" vertical="center"/>
    </xf>
    <xf numFmtId="173" fontId="13" fillId="46" borderId="31" xfId="24" applyNumberFormat="1" applyFont="1" applyFill="1" applyBorder="1" applyAlignment="1">
      <alignment horizontal="center" vertical="center"/>
    </xf>
    <xf numFmtId="1" fontId="14" fillId="0" borderId="1" xfId="24" applyNumberFormat="1" applyBorder="1" applyAlignment="1">
      <alignment horizontal="right" vertical="center"/>
    </xf>
    <xf numFmtId="1" fontId="14" fillId="0" borderId="5" xfId="24" applyNumberFormat="1" applyBorder="1" applyAlignment="1">
      <alignment horizontal="right" vertical="center"/>
    </xf>
    <xf numFmtId="2" fontId="14" fillId="0" borderId="1" xfId="24" applyNumberFormat="1" applyBorder="1" applyAlignment="1">
      <alignment horizontal="right" vertical="center" wrapText="1"/>
    </xf>
    <xf numFmtId="2" fontId="14" fillId="0" borderId="5" xfId="24" applyNumberFormat="1" applyBorder="1" applyAlignment="1">
      <alignment horizontal="right" vertical="center" wrapText="1"/>
    </xf>
    <xf numFmtId="2" fontId="14" fillId="0" borderId="5" xfId="24" applyNumberFormat="1" applyBorder="1" applyAlignment="1">
      <alignment horizontal="right" vertical="center"/>
    </xf>
    <xf numFmtId="172" fontId="19" fillId="23" borderId="1" xfId="2" applyNumberFormat="1" applyFont="1" applyFill="1" applyBorder="1"/>
    <xf numFmtId="172" fontId="18" fillId="23" borderId="1" xfId="2" applyNumberFormat="1" applyFont="1" applyFill="1" applyBorder="1"/>
    <xf numFmtId="4" fontId="202" fillId="23" borderId="1" xfId="0" applyNumberFormat="1" applyFont="1" applyFill="1" applyBorder="1"/>
    <xf numFmtId="0" fontId="202" fillId="23" borderId="1" xfId="0" applyFont="1" applyFill="1" applyBorder="1" applyAlignment="1">
      <alignment horizontal="center"/>
    </xf>
    <xf numFmtId="170" fontId="30" fillId="23" borderId="1" xfId="17" applyNumberFormat="1" applyFont="1" applyFill="1" applyBorder="1" applyAlignment="1" applyProtection="1">
      <alignment horizontal="center"/>
    </xf>
    <xf numFmtId="170" fontId="203" fillId="23" borderId="1" xfId="17" applyNumberFormat="1" applyFont="1" applyFill="1" applyBorder="1" applyAlignment="1">
      <alignment horizontal="center"/>
    </xf>
    <xf numFmtId="0" fontId="204" fillId="23" borderId="1" xfId="0" applyFont="1" applyFill="1" applyBorder="1" applyAlignment="1">
      <alignment horizontal="center"/>
    </xf>
    <xf numFmtId="0" fontId="19" fillId="23" borderId="1" xfId="15" applyFont="1" applyFill="1" applyBorder="1" applyAlignment="1">
      <alignment horizontal="center" wrapText="1"/>
    </xf>
    <xf numFmtId="4" fontId="204" fillId="23" borderId="0" xfId="17" applyNumberFormat="1" applyFont="1" applyFill="1" applyBorder="1"/>
    <xf numFmtId="10" fontId="204" fillId="23" borderId="1" xfId="0" applyNumberFormat="1" applyFont="1" applyFill="1" applyBorder="1" applyAlignment="1">
      <alignment horizontal="center"/>
    </xf>
    <xf numFmtId="3" fontId="205" fillId="23" borderId="1" xfId="0" applyNumberFormat="1" applyFont="1" applyFill="1" applyBorder="1" applyAlignment="1">
      <alignment vertical="center"/>
    </xf>
    <xf numFmtId="3" fontId="206" fillId="23" borderId="1" xfId="0" applyNumberFormat="1" applyFont="1" applyFill="1" applyBorder="1" applyAlignment="1">
      <alignment vertical="center" wrapText="1"/>
    </xf>
    <xf numFmtId="3" fontId="206" fillId="23" borderId="1" xfId="0" applyNumberFormat="1" applyFont="1" applyFill="1" applyBorder="1" applyAlignment="1">
      <alignment wrapText="1"/>
    </xf>
    <xf numFmtId="0" fontId="96" fillId="18" borderId="62" xfId="15" applyFont="1" applyFill="1" applyBorder="1" applyAlignment="1">
      <alignment horizontal="center" vertical="center" wrapText="1"/>
    </xf>
    <xf numFmtId="10" fontId="203" fillId="23" borderId="1" xfId="17" applyNumberFormat="1" applyFont="1" applyFill="1" applyBorder="1" applyAlignment="1">
      <alignment horizontal="center"/>
    </xf>
    <xf numFmtId="0" fontId="19" fillId="4" borderId="15" xfId="0" applyFont="1" applyFill="1" applyBorder="1" applyAlignment="1">
      <alignment horizontal="center" wrapText="1"/>
    </xf>
    <xf numFmtId="0" fontId="14" fillId="46" borderId="21" xfId="24" applyFill="1" applyBorder="1" applyAlignment="1">
      <alignment vertical="center"/>
    </xf>
    <xf numFmtId="0" fontId="14" fillId="0" borderId="0" xfId="12" applyFont="1" applyAlignment="1">
      <alignment horizontal="centerContinuous" vertical="center"/>
    </xf>
    <xf numFmtId="0" fontId="14" fillId="0" borderId="0" xfId="12" applyFont="1" applyAlignment="1">
      <alignment vertical="center"/>
    </xf>
    <xf numFmtId="0" fontId="14" fillId="0" borderId="0" xfId="28" applyFont="1" applyFill="1" applyBorder="1" applyAlignment="1">
      <alignment horizontal="left" vertical="center"/>
    </xf>
    <xf numFmtId="0" fontId="14" fillId="0" borderId="0" xfId="28" applyFont="1" applyFill="1" applyBorder="1" applyAlignment="1" applyProtection="1">
      <alignment horizontal="left" vertical="center"/>
      <protection locked="0"/>
    </xf>
    <xf numFmtId="0" fontId="172" fillId="0" borderId="0" xfId="34" applyFont="1" applyBorder="1" applyAlignment="1">
      <alignment horizontal="left" vertical="top"/>
    </xf>
    <xf numFmtId="2" fontId="13" fillId="46" borderId="5" xfId="36" applyNumberFormat="1" applyFont="1" applyAlignment="1">
      <alignment horizontal="center" vertical="center"/>
    </xf>
    <xf numFmtId="0" fontId="38" fillId="0" borderId="0" xfId="12" applyFont="1" applyAlignment="1">
      <alignment horizontal="center" vertical="center"/>
    </xf>
    <xf numFmtId="2" fontId="14" fillId="48" borderId="32" xfId="36" applyNumberFormat="1" applyFont="1" applyFill="1" applyBorder="1" applyAlignment="1">
      <alignment horizontal="center" vertical="center"/>
    </xf>
    <xf numFmtId="2" fontId="14" fillId="0" borderId="5" xfId="31" applyNumberFormat="1" applyBorder="1" applyAlignment="1">
      <alignment horizontal="center" vertical="center"/>
    </xf>
    <xf numFmtId="190" fontId="14" fillId="0" borderId="0" xfId="24" applyNumberFormat="1" applyAlignment="1">
      <alignment vertical="center"/>
    </xf>
    <xf numFmtId="2" fontId="17" fillId="0" borderId="15" xfId="12" applyNumberFormat="1" applyFont="1" applyBorder="1" applyAlignment="1">
      <alignment horizontal="center"/>
    </xf>
    <xf numFmtId="2" fontId="13" fillId="0" borderId="15" xfId="12" applyNumberFormat="1" applyFont="1" applyBorder="1" applyAlignment="1">
      <alignment horizontal="center"/>
    </xf>
    <xf numFmtId="0" fontId="13" fillId="0" borderId="0" xfId="24" applyFont="1" applyAlignment="1">
      <alignment horizontal="center" vertical="center"/>
    </xf>
    <xf numFmtId="2" fontId="207" fillId="0" borderId="0" xfId="12" applyNumberFormat="1" applyFont="1"/>
    <xf numFmtId="0" fontId="14" fillId="0" borderId="31" xfId="37" applyBorder="1" applyAlignment="1">
      <alignment horizontal="center" vertical="center"/>
    </xf>
    <xf numFmtId="4" fontId="174" fillId="0" borderId="15" xfId="24" applyNumberFormat="1" applyFont="1" applyBorder="1" applyAlignment="1">
      <alignment horizontal="left" vertical="center" indent="4"/>
    </xf>
    <xf numFmtId="0" fontId="14" fillId="0" borderId="0" xfId="24" applyAlignment="1" applyProtection="1">
      <alignment horizontal="left" vertical="center"/>
      <protection locked="0"/>
    </xf>
    <xf numFmtId="0" fontId="13" fillId="52" borderId="21" xfId="24" applyFont="1" applyFill="1" applyBorder="1" applyAlignment="1">
      <alignment vertical="center"/>
    </xf>
    <xf numFmtId="0" fontId="38" fillId="52" borderId="0" xfId="12" applyFont="1" applyFill="1"/>
    <xf numFmtId="0" fontId="14" fillId="52" borderId="21" xfId="24" applyFill="1" applyBorder="1" applyAlignment="1">
      <alignment vertical="center"/>
    </xf>
    <xf numFmtId="4" fontId="45" fillId="48" borderId="55" xfId="24" applyNumberFormat="1" applyFont="1" applyFill="1" applyBorder="1" applyAlignment="1">
      <alignment vertical="center"/>
    </xf>
    <xf numFmtId="4" fontId="174" fillId="46" borderId="55" xfId="24" applyNumberFormat="1" applyFont="1" applyFill="1" applyBorder="1" applyAlignment="1">
      <alignment horizontal="center" vertical="center"/>
    </xf>
    <xf numFmtId="0" fontId="174" fillId="42" borderId="55" xfId="26" applyFont="1" applyBorder="1" applyAlignment="1" applyProtection="1">
      <alignment horizontal="center" vertical="center"/>
    </xf>
    <xf numFmtId="0" fontId="14" fillId="42" borderId="65" xfId="37" applyFill="1" applyBorder="1" applyAlignment="1">
      <alignment horizontal="center" vertical="center"/>
    </xf>
    <xf numFmtId="0" fontId="45" fillId="46" borderId="55" xfId="24" applyFont="1" applyFill="1" applyBorder="1" applyAlignment="1">
      <alignment horizontal="center" vertical="center"/>
    </xf>
    <xf numFmtId="189" fontId="14" fillId="0" borderId="1" xfId="37" applyNumberFormat="1" applyBorder="1">
      <alignment horizontal="right" vertical="center"/>
    </xf>
    <xf numFmtId="171" fontId="17" fillId="0" borderId="15" xfId="12" applyNumberFormat="1" applyFont="1" applyBorder="1"/>
    <xf numFmtId="0" fontId="13" fillId="46" borderId="0" xfId="24" applyFont="1" applyFill="1" applyAlignment="1">
      <alignment horizontal="left" vertical="center"/>
    </xf>
    <xf numFmtId="0" fontId="13" fillId="0" borderId="1" xfId="0" applyFont="1" applyBorder="1"/>
    <xf numFmtId="0" fontId="13" fillId="0" borderId="1" xfId="0" applyFont="1" applyBorder="1" applyAlignment="1">
      <alignment vertical="center"/>
    </xf>
    <xf numFmtId="0" fontId="13" fillId="0" borderId="0" xfId="24" applyFont="1" applyAlignment="1">
      <alignment horizontal="left" vertical="center"/>
    </xf>
    <xf numFmtId="0" fontId="14" fillId="0" borderId="0" xfId="24" applyAlignment="1" applyProtection="1">
      <alignment horizontal="centerContinuous" vertical="center" wrapText="1"/>
      <protection locked="0"/>
    </xf>
    <xf numFmtId="0" fontId="14" fillId="46" borderId="21" xfId="24" applyFill="1" applyBorder="1" applyAlignment="1">
      <alignment horizontal="left" vertical="center"/>
    </xf>
    <xf numFmtId="0" fontId="14" fillId="46" borderId="0" xfId="24" applyFill="1" applyAlignment="1">
      <alignment horizontal="left" vertical="center"/>
    </xf>
    <xf numFmtId="0" fontId="14" fillId="46" borderId="0" xfId="24" applyFill="1" applyAlignment="1" applyProtection="1">
      <alignment horizontal="centerContinuous" vertical="center" wrapText="1"/>
      <protection locked="0"/>
    </xf>
    <xf numFmtId="0" fontId="14" fillId="46" borderId="0" xfId="24" applyFill="1" applyAlignment="1" applyProtection="1">
      <alignment horizontal="left" vertical="center"/>
      <protection locked="0"/>
    </xf>
    <xf numFmtId="176" fontId="208" fillId="0" borderId="0" xfId="0" applyNumberFormat="1" applyFont="1" applyAlignment="1">
      <alignment wrapText="1"/>
    </xf>
    <xf numFmtId="175" fontId="0" fillId="0" borderId="0" xfId="0" applyNumberFormat="1"/>
    <xf numFmtId="0" fontId="17" fillId="46" borderId="21" xfId="12" applyFont="1" applyFill="1" applyBorder="1"/>
    <xf numFmtId="169" fontId="17" fillId="0" borderId="15" xfId="12" applyNumberFormat="1" applyFont="1" applyBorder="1" applyAlignment="1">
      <alignment horizontal="center"/>
    </xf>
    <xf numFmtId="0" fontId="13" fillId="46" borderId="0" xfId="24" applyFont="1" applyFill="1"/>
    <xf numFmtId="0" fontId="14" fillId="46" borderId="21" xfId="24" applyFill="1" applyBorder="1"/>
    <xf numFmtId="0" fontId="14" fillId="46" borderId="0" xfId="24" applyFill="1"/>
    <xf numFmtId="0" fontId="14" fillId="46" borderId="10" xfId="24" applyFill="1" applyBorder="1"/>
    <xf numFmtId="0" fontId="209" fillId="0" borderId="0" xfId="7" applyFont="1"/>
    <xf numFmtId="0" fontId="0" fillId="26" borderId="50" xfId="0" applyFill="1" applyBorder="1"/>
    <xf numFmtId="0" fontId="123" fillId="26" borderId="51" xfId="0" applyFont="1" applyFill="1" applyBorder="1"/>
    <xf numFmtId="0" fontId="0" fillId="26" borderId="51" xfId="0" applyFill="1" applyBorder="1"/>
    <xf numFmtId="0" fontId="0" fillId="26" borderId="14" xfId="0" applyFill="1" applyBorder="1"/>
    <xf numFmtId="0" fontId="0" fillId="11" borderId="0" xfId="0" applyFill="1"/>
    <xf numFmtId="0" fontId="78" fillId="11" borderId="0" xfId="0" applyFont="1" applyFill="1" applyAlignment="1">
      <alignment horizontal="right"/>
    </xf>
    <xf numFmtId="0" fontId="80" fillId="11" borderId="0" xfId="0" applyFont="1" applyFill="1"/>
    <xf numFmtId="0" fontId="209" fillId="11" borderId="0" xfId="7" applyFont="1" applyFill="1"/>
    <xf numFmtId="0" fontId="210" fillId="11" borderId="0" xfId="0" applyFont="1" applyFill="1"/>
    <xf numFmtId="0" fontId="122" fillId="11" borderId="0" xfId="0" applyFont="1" applyFill="1"/>
    <xf numFmtId="0" fontId="205" fillId="11" borderId="0" xfId="0" applyFont="1" applyFill="1"/>
    <xf numFmtId="0" fontId="124" fillId="11" borderId="0" xfId="7" applyFont="1" applyFill="1"/>
    <xf numFmtId="2" fontId="13" fillId="41" borderId="1" xfId="31" applyNumberFormat="1" applyFont="1" applyFill="1" applyAlignment="1">
      <alignment horizontal="center" vertical="center"/>
    </xf>
    <xf numFmtId="4" fontId="13" fillId="41" borderId="6" xfId="24" applyNumberFormat="1" applyFont="1" applyFill="1" applyBorder="1" applyAlignment="1">
      <alignment horizontal="center" vertical="center"/>
    </xf>
    <xf numFmtId="0" fontId="23" fillId="0" borderId="0" xfId="0" applyFont="1" applyAlignment="1">
      <alignment horizontal="center" wrapText="1"/>
    </xf>
    <xf numFmtId="0" fontId="2" fillId="0" borderId="0" xfId="48"/>
    <xf numFmtId="0" fontId="212" fillId="0" borderId="0" xfId="48" applyFont="1"/>
    <xf numFmtId="0" fontId="163" fillId="0" borderId="0" xfId="23" applyFont="1" applyAlignment="1"/>
    <xf numFmtId="0" fontId="194" fillId="0" borderId="0" xfId="48" applyFont="1"/>
    <xf numFmtId="2" fontId="45" fillId="0" borderId="0" xfId="49" applyNumberFormat="1" applyFont="1" applyAlignment="1">
      <alignment vertical="center"/>
    </xf>
    <xf numFmtId="2" fontId="174" fillId="53" borderId="46" xfId="49" quotePrefix="1" applyNumberFormat="1" applyFont="1" applyFill="1" applyBorder="1" applyAlignment="1">
      <alignment horizontal="left" vertical="center"/>
    </xf>
    <xf numFmtId="2" fontId="174" fillId="53" borderId="46" xfId="49" applyNumberFormat="1" applyFont="1" applyFill="1" applyBorder="1" applyAlignment="1">
      <alignment horizontal="center" vertical="center" wrapText="1"/>
    </xf>
    <xf numFmtId="2" fontId="174" fillId="53" borderId="127" xfId="49" quotePrefix="1" applyNumberFormat="1" applyFont="1" applyFill="1" applyBorder="1" applyAlignment="1">
      <alignment horizontal="center" vertical="center"/>
    </xf>
    <xf numFmtId="2" fontId="13" fillId="53" borderId="61"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wrapText="1"/>
    </xf>
    <xf numFmtId="2" fontId="13" fillId="53" borderId="127" xfId="49" quotePrefix="1" applyNumberFormat="1" applyFont="1" applyFill="1" applyBorder="1" applyAlignment="1">
      <alignment horizontal="center" vertical="center"/>
    </xf>
    <xf numFmtId="4" fontId="13" fillId="54" borderId="19" xfId="26" applyNumberFormat="1" applyFont="1" applyFill="1" applyBorder="1" applyAlignment="1">
      <alignment horizontal="center" vertical="center" wrapText="1"/>
    </xf>
    <xf numFmtId="2" fontId="13" fillId="53" borderId="127" xfId="49" applyNumberFormat="1" applyFont="1" applyFill="1" applyBorder="1" applyAlignment="1">
      <alignment horizontal="center" vertical="center"/>
    </xf>
    <xf numFmtId="2" fontId="13" fillId="53" borderId="62" xfId="49" quotePrefix="1" applyNumberFormat="1" applyFont="1" applyFill="1" applyBorder="1" applyAlignment="1">
      <alignment horizontal="center" vertical="center" wrapText="1"/>
    </xf>
    <xf numFmtId="2" fontId="13" fillId="53" borderId="16" xfId="49" quotePrefix="1" applyNumberFormat="1" applyFont="1" applyFill="1" applyBorder="1" applyAlignment="1">
      <alignment horizontal="center" vertical="center" wrapText="1"/>
    </xf>
    <xf numFmtId="2" fontId="174" fillId="53" borderId="66" xfId="49" applyNumberFormat="1" applyFont="1" applyFill="1" applyBorder="1" applyAlignment="1">
      <alignment horizontal="left" vertical="center"/>
    </xf>
    <xf numFmtId="2" fontId="174" fillId="53" borderId="144" xfId="49" applyNumberFormat="1" applyFont="1" applyFill="1" applyBorder="1" applyAlignment="1">
      <alignment horizontal="centerContinuous" vertical="center"/>
    </xf>
    <xf numFmtId="2" fontId="174" fillId="53" borderId="142" xfId="49" applyNumberFormat="1" applyFont="1" applyFill="1" applyBorder="1" applyAlignment="1">
      <alignment horizontal="centerContinuous" vertical="center"/>
    </xf>
    <xf numFmtId="2" fontId="174" fillId="53" borderId="145" xfId="49" applyNumberFormat="1" applyFont="1" applyFill="1" applyBorder="1" applyAlignment="1">
      <alignment horizontal="centerContinuous" vertical="center"/>
    </xf>
    <xf numFmtId="2" fontId="13" fillId="53" borderId="146" xfId="49" applyNumberFormat="1" applyFont="1" applyFill="1" applyBorder="1" applyAlignment="1">
      <alignment horizontal="centerContinuous" vertical="center"/>
    </xf>
    <xf numFmtId="2" fontId="13" fillId="53" borderId="142" xfId="49" applyNumberFormat="1" applyFont="1" applyFill="1" applyBorder="1" applyAlignment="1">
      <alignment horizontal="centerContinuous" vertical="center"/>
    </xf>
    <xf numFmtId="0" fontId="13" fillId="54" borderId="146" xfId="48" applyFont="1" applyFill="1" applyBorder="1" applyAlignment="1">
      <alignment horizontal="centerContinuous" vertical="center"/>
    </xf>
    <xf numFmtId="0" fontId="13" fillId="54" borderId="142" xfId="48" applyFont="1" applyFill="1" applyBorder="1" applyAlignment="1">
      <alignment horizontal="centerContinuous" vertical="center"/>
    </xf>
    <xf numFmtId="0" fontId="13" fillId="54" borderId="143" xfId="48" applyFont="1" applyFill="1" applyBorder="1" applyAlignment="1">
      <alignment horizontal="centerContinuous" vertical="center"/>
    </xf>
    <xf numFmtId="2" fontId="13" fillId="53" borderId="122" xfId="49" applyNumberFormat="1" applyFont="1" applyFill="1" applyBorder="1" applyAlignment="1">
      <alignment horizontal="centerContinuous" vertical="center"/>
    </xf>
    <xf numFmtId="2" fontId="174" fillId="53" borderId="154" xfId="49" applyNumberFormat="1" applyFont="1" applyFill="1" applyBorder="1" applyAlignment="1">
      <alignment horizontal="left" vertical="center"/>
    </xf>
    <xf numFmtId="0" fontId="214" fillId="53" borderId="154" xfId="49" applyFont="1" applyFill="1" applyBorder="1" applyAlignment="1">
      <alignment horizontal="right" vertical="center"/>
    </xf>
    <xf numFmtId="0" fontId="214" fillId="53" borderId="155" xfId="49" applyFont="1" applyFill="1" applyBorder="1" applyAlignment="1">
      <alignment horizontal="right" vertical="center"/>
    </xf>
    <xf numFmtId="4" fontId="45" fillId="54" borderId="155" xfId="26" applyNumberFormat="1" applyFont="1" applyFill="1" applyBorder="1" applyAlignment="1">
      <alignment horizontal="right" vertical="center"/>
    </xf>
    <xf numFmtId="0" fontId="214" fillId="53" borderId="126" xfId="49" applyFont="1" applyFill="1" applyBorder="1" applyAlignment="1">
      <alignment horizontal="right" vertical="center"/>
    </xf>
    <xf numFmtId="0" fontId="13" fillId="53" borderId="156" xfId="49" applyFont="1" applyFill="1" applyBorder="1" applyAlignment="1">
      <alignment horizontal="right" vertical="center"/>
    </xf>
    <xf numFmtId="2" fontId="174" fillId="53" borderId="63" xfId="49" applyNumberFormat="1" applyFont="1" applyFill="1" applyBorder="1" applyAlignment="1">
      <alignment horizontal="left" vertical="center"/>
    </xf>
    <xf numFmtId="0" fontId="214" fillId="53" borderId="63" xfId="49" applyFont="1" applyFill="1" applyBorder="1" applyAlignment="1">
      <alignment horizontal="right" vertical="center"/>
    </xf>
    <xf numFmtId="0" fontId="214" fillId="53" borderId="19" xfId="49" applyFont="1" applyFill="1" applyBorder="1" applyAlignment="1">
      <alignment horizontal="right" vertical="center"/>
    </xf>
    <xf numFmtId="2" fontId="215" fillId="42" borderId="19" xfId="26" applyNumberFormat="1" applyFont="1" applyBorder="1" applyAlignment="1">
      <alignment horizontal="right" vertical="center"/>
    </xf>
    <xf numFmtId="2" fontId="215" fillId="42" borderId="2" xfId="26" applyNumberFormat="1" applyFont="1" applyBorder="1" applyAlignment="1">
      <alignment horizontal="right" vertical="center"/>
    </xf>
    <xf numFmtId="4" fontId="45" fillId="42" borderId="2" xfId="26" applyNumberFormat="1" applyFont="1" applyBorder="1" applyAlignment="1">
      <alignment horizontal="right" vertical="center"/>
    </xf>
    <xf numFmtId="0" fontId="214" fillId="53" borderId="20" xfId="49" applyFont="1" applyFill="1" applyBorder="1" applyAlignment="1">
      <alignment horizontal="right" vertical="center"/>
    </xf>
    <xf numFmtId="0" fontId="13" fillId="53" borderId="70" xfId="49" applyFont="1" applyFill="1" applyBorder="1" applyAlignment="1">
      <alignment horizontal="right" vertical="center"/>
    </xf>
    <xf numFmtId="0" fontId="14" fillId="53" borderId="64" xfId="28" applyFont="1" applyFill="1" applyBorder="1" applyAlignment="1">
      <alignment horizontal="left" vertical="center" indent="1"/>
    </xf>
    <xf numFmtId="0" fontId="14" fillId="53" borderId="64" xfId="49" applyFill="1" applyBorder="1" applyAlignment="1">
      <alignment horizontal="right" vertical="center"/>
    </xf>
    <xf numFmtId="0" fontId="14" fillId="53" borderId="1" xfId="49" applyFill="1" applyBorder="1" applyAlignment="1">
      <alignment horizontal="right" vertical="center"/>
    </xf>
    <xf numFmtId="2" fontId="45" fillId="42" borderId="1" xfId="26" applyNumberFormat="1" applyFont="1" applyBorder="1" applyAlignment="1">
      <alignment horizontal="right" vertical="center"/>
    </xf>
    <xf numFmtId="4" fontId="45" fillId="42" borderId="1" xfId="26" applyNumberFormat="1" applyFont="1" applyBorder="1" applyAlignment="1">
      <alignment horizontal="right" vertical="center"/>
    </xf>
    <xf numFmtId="0" fontId="14" fillId="53" borderId="5" xfId="49" applyFill="1" applyBorder="1" applyAlignment="1">
      <alignment horizontal="right" vertical="center"/>
    </xf>
    <xf numFmtId="0" fontId="13" fillId="53" borderId="58" xfId="49" applyFont="1" applyFill="1" applyBorder="1" applyAlignment="1">
      <alignment horizontal="right" vertical="center"/>
    </xf>
    <xf numFmtId="0" fontId="14" fillId="53" borderId="64" xfId="29" applyFont="1" applyFill="1" applyBorder="1" applyAlignment="1">
      <alignment horizontal="left" vertical="center" indent="2"/>
    </xf>
    <xf numFmtId="0" fontId="13" fillId="53" borderId="59" xfId="49" applyFont="1" applyFill="1" applyBorder="1" applyAlignment="1">
      <alignment horizontal="right" vertical="center"/>
    </xf>
    <xf numFmtId="0" fontId="14" fillId="53" borderId="23" xfId="49" applyFill="1" applyBorder="1" applyAlignment="1">
      <alignment horizontal="right" vertical="center"/>
    </xf>
    <xf numFmtId="2" fontId="45" fillId="42" borderId="23" xfId="26" applyNumberFormat="1" applyFont="1" applyBorder="1" applyAlignment="1">
      <alignment horizontal="right" vertical="center"/>
    </xf>
    <xf numFmtId="0" fontId="14" fillId="53" borderId="24" xfId="49" applyFill="1" applyBorder="1" applyAlignment="1">
      <alignment horizontal="right" vertical="center"/>
    </xf>
    <xf numFmtId="0" fontId="13" fillId="53" borderId="128" xfId="49" applyFont="1" applyFill="1" applyBorder="1" applyAlignment="1">
      <alignment horizontal="right" vertical="center"/>
    </xf>
    <xf numFmtId="0" fontId="216" fillId="53" borderId="64" xfId="49" applyFont="1" applyFill="1" applyBorder="1" applyAlignment="1">
      <alignment horizontal="right" vertical="center" shrinkToFit="1"/>
    </xf>
    <xf numFmtId="0" fontId="216" fillId="53" borderId="1" xfId="49" applyFont="1" applyFill="1" applyBorder="1" applyAlignment="1">
      <alignment horizontal="right" vertical="center" shrinkToFit="1"/>
    </xf>
    <xf numFmtId="0" fontId="216" fillId="53" borderId="4" xfId="49" applyFont="1" applyFill="1" applyBorder="1" applyAlignment="1">
      <alignment horizontal="right" vertical="center" shrinkToFit="1"/>
    </xf>
    <xf numFmtId="0" fontId="14" fillId="53" borderId="55" xfId="49" applyFill="1" applyBorder="1" applyAlignment="1">
      <alignment horizontal="right" vertical="center"/>
    </xf>
    <xf numFmtId="0" fontId="14" fillId="53" borderId="157" xfId="29" applyFont="1" applyFill="1" applyBorder="1" applyAlignment="1" applyProtection="1">
      <alignment horizontal="left" vertical="center" indent="2"/>
    </xf>
    <xf numFmtId="0" fontId="14" fillId="53" borderId="52" xfId="49" applyFill="1" applyBorder="1" applyAlignment="1">
      <alignment horizontal="right" vertical="center"/>
    </xf>
    <xf numFmtId="0" fontId="14" fillId="54" borderId="157" xfId="28" applyFont="1" applyFill="1" applyBorder="1" applyAlignment="1">
      <alignment horizontal="left" vertical="center" indent="1"/>
    </xf>
    <xf numFmtId="0" fontId="14" fillId="54" borderId="33" xfId="49" applyFill="1" applyBorder="1" applyAlignment="1">
      <alignment horizontal="right" vertical="center"/>
    </xf>
    <xf numFmtId="2" fontId="216" fillId="42" borderId="52" xfId="26" applyNumberFormat="1" applyFont="1" applyBorder="1" applyAlignment="1">
      <alignment horizontal="right" vertical="center"/>
    </xf>
    <xf numFmtId="2" fontId="216" fillId="42" borderId="23" xfId="26" applyNumberFormat="1" applyFont="1" applyBorder="1" applyAlignment="1">
      <alignment horizontal="right" vertical="center"/>
    </xf>
    <xf numFmtId="2" fontId="216" fillId="42" borderId="24" xfId="26" applyNumberFormat="1" applyFont="1" applyBorder="1" applyAlignment="1">
      <alignment horizontal="right" vertical="center"/>
    </xf>
    <xf numFmtId="2" fontId="13" fillId="54" borderId="63" xfId="49" applyNumberFormat="1" applyFont="1" applyFill="1" applyBorder="1" applyAlignment="1">
      <alignment horizontal="left" vertical="center"/>
    </xf>
    <xf numFmtId="0" fontId="214" fillId="54" borderId="18" xfId="49" applyFont="1" applyFill="1" applyBorder="1" applyAlignment="1">
      <alignment horizontal="right" vertical="center"/>
    </xf>
    <xf numFmtId="0" fontId="214" fillId="54" borderId="74" xfId="49" applyFont="1" applyFill="1" applyBorder="1" applyAlignment="1">
      <alignment horizontal="right" vertical="center"/>
    </xf>
    <xf numFmtId="0" fontId="214" fillId="54" borderId="19" xfId="49" applyFont="1" applyFill="1" applyBorder="1" applyAlignment="1">
      <alignment horizontal="right" vertical="center"/>
    </xf>
    <xf numFmtId="0" fontId="14" fillId="54" borderId="64" xfId="28" applyFont="1" applyFill="1" applyBorder="1" applyAlignment="1">
      <alignment horizontal="left" vertical="center" indent="1"/>
    </xf>
    <xf numFmtId="0" fontId="14" fillId="54" borderId="4" xfId="49" applyFill="1" applyBorder="1" applyAlignment="1">
      <alignment horizontal="right" vertical="center"/>
    </xf>
    <xf numFmtId="2" fontId="45" fillId="42" borderId="31" xfId="26" applyNumberFormat="1" applyFont="1" applyBorder="1" applyAlignment="1">
      <alignment horizontal="right" vertical="center"/>
    </xf>
    <xf numFmtId="2" fontId="45" fillId="42" borderId="2" xfId="26" applyNumberFormat="1" applyFont="1" applyBorder="1" applyAlignment="1">
      <alignment horizontal="right" vertical="center"/>
    </xf>
    <xf numFmtId="0" fontId="14" fillId="53" borderId="2" xfId="49" applyFill="1" applyBorder="1" applyAlignment="1">
      <alignment horizontal="right" vertical="center"/>
    </xf>
    <xf numFmtId="0" fontId="14" fillId="53" borderId="36" xfId="49" applyFill="1" applyBorder="1" applyAlignment="1">
      <alignment horizontal="right" vertical="center"/>
    </xf>
    <xf numFmtId="0" fontId="14" fillId="54" borderId="55" xfId="49" applyFill="1" applyBorder="1" applyAlignment="1">
      <alignment horizontal="right" vertical="center"/>
    </xf>
    <xf numFmtId="0" fontId="14" fillId="54" borderId="1" xfId="49" applyFill="1" applyBorder="1" applyAlignment="1">
      <alignment horizontal="right" vertical="center"/>
    </xf>
    <xf numFmtId="4" fontId="45" fillId="54" borderId="1" xfId="26" applyNumberFormat="1" applyFont="1" applyFill="1" applyBorder="1" applyAlignment="1">
      <alignment horizontal="right" vertical="center"/>
    </xf>
    <xf numFmtId="2" fontId="45" fillId="54" borderId="55" xfId="26" applyNumberFormat="1" applyFont="1" applyFill="1" applyBorder="1" applyAlignment="1">
      <alignment horizontal="right" vertical="center"/>
    </xf>
    <xf numFmtId="2" fontId="45" fillId="54" borderId="1" xfId="26" applyNumberFormat="1" applyFont="1" applyFill="1" applyBorder="1" applyAlignment="1">
      <alignment horizontal="right" vertical="center"/>
    </xf>
    <xf numFmtId="0" fontId="14" fillId="54" borderId="5" xfId="49" applyFill="1" applyBorder="1" applyAlignment="1">
      <alignment horizontal="right" vertical="center"/>
    </xf>
    <xf numFmtId="2" fontId="45" fillId="42" borderId="4" xfId="26" applyNumberFormat="1" applyFont="1" applyBorder="1" applyAlignment="1">
      <alignment horizontal="right" vertical="center"/>
    </xf>
    <xf numFmtId="2" fontId="45" fillId="42" borderId="52" xfId="26" applyNumberFormat="1" applyFont="1" applyBorder="1" applyAlignment="1">
      <alignment horizontal="right" vertical="center"/>
    </xf>
    <xf numFmtId="0" fontId="14" fillId="54" borderId="23" xfId="49" applyFill="1" applyBorder="1" applyAlignment="1">
      <alignment horizontal="right" vertical="center"/>
    </xf>
    <xf numFmtId="2" fontId="45" fillId="42" borderId="24" xfId="26" applyNumberFormat="1" applyFont="1" applyBorder="1" applyAlignment="1">
      <alignment horizontal="right" vertical="center"/>
    </xf>
    <xf numFmtId="2" fontId="45" fillId="54" borderId="33" xfId="26" applyNumberFormat="1" applyFont="1" applyFill="1" applyBorder="1" applyAlignment="1">
      <alignment horizontal="right" vertical="center"/>
    </xf>
    <xf numFmtId="2" fontId="45" fillId="54" borderId="52" xfId="26" applyNumberFormat="1" applyFont="1" applyFill="1" applyBorder="1" applyAlignment="1">
      <alignment horizontal="right" vertical="center"/>
    </xf>
    <xf numFmtId="2" fontId="45" fillId="54" borderId="23" xfId="26" applyNumberFormat="1" applyFont="1" applyFill="1" applyBorder="1" applyAlignment="1">
      <alignment horizontal="right" vertical="center"/>
    </xf>
    <xf numFmtId="2" fontId="45" fillId="54" borderId="24" xfId="26" applyNumberFormat="1" applyFont="1" applyFill="1" applyBorder="1" applyAlignment="1">
      <alignment horizontal="right" vertical="center"/>
    </xf>
    <xf numFmtId="0" fontId="14" fillId="53" borderId="43" xfId="28" applyFont="1" applyFill="1" applyBorder="1" applyAlignment="1">
      <alignment horizontal="left" vertical="center" indent="1"/>
    </xf>
    <xf numFmtId="0" fontId="14" fillId="53" borderId="26" xfId="49" applyFill="1" applyBorder="1" applyAlignment="1">
      <alignment horizontal="right" vertical="center"/>
    </xf>
    <xf numFmtId="0" fontId="14" fillId="53" borderId="129" xfId="49" applyFill="1" applyBorder="1" applyAlignment="1">
      <alignment horizontal="right" vertical="center"/>
    </xf>
    <xf numFmtId="0" fontId="14" fillId="53" borderId="17" xfId="49" applyFill="1" applyBorder="1" applyAlignment="1">
      <alignment horizontal="right" vertical="center"/>
    </xf>
    <xf numFmtId="4" fontId="45" fillId="54" borderId="17" xfId="26" applyNumberFormat="1" applyFont="1" applyFill="1" applyBorder="1" applyAlignment="1">
      <alignment horizontal="right" vertical="center"/>
    </xf>
    <xf numFmtId="0" fontId="14" fillId="53" borderId="22" xfId="49" applyFill="1" applyBorder="1" applyAlignment="1">
      <alignment horizontal="right" vertical="center"/>
    </xf>
    <xf numFmtId="0" fontId="13" fillId="53" borderId="60" xfId="49" applyFont="1" applyFill="1" applyBorder="1" applyAlignment="1">
      <alignment horizontal="right" vertical="center"/>
    </xf>
    <xf numFmtId="2" fontId="13" fillId="53" borderId="47" xfId="49" applyNumberFormat="1" applyFont="1" applyFill="1" applyBorder="1" applyAlignment="1">
      <alignment horizontal="left" vertical="center"/>
    </xf>
    <xf numFmtId="0" fontId="13" fillId="53" borderId="31" xfId="49" applyFont="1" applyFill="1" applyBorder="1" applyAlignment="1">
      <alignment horizontal="right" vertical="center"/>
    </xf>
    <xf numFmtId="0" fontId="13" fillId="53" borderId="2" xfId="49" applyFont="1" applyFill="1" applyBorder="1" applyAlignment="1">
      <alignment horizontal="right" vertical="center"/>
    </xf>
    <xf numFmtId="2" fontId="174" fillId="42" borderId="31" xfId="26" applyNumberFormat="1" applyFont="1" applyBorder="1" applyAlignment="1">
      <alignment horizontal="right" vertical="center"/>
    </xf>
    <xf numFmtId="0" fontId="13" fillId="53" borderId="2" xfId="50" applyBorder="1">
      <alignment horizontal="right" vertical="center"/>
    </xf>
    <xf numFmtId="0" fontId="13" fillId="53" borderId="36" xfId="50" applyBorder="1">
      <alignment horizontal="right" vertical="center"/>
    </xf>
    <xf numFmtId="2" fontId="14" fillId="53" borderId="64" xfId="49" applyNumberFormat="1" applyFill="1" applyBorder="1" applyAlignment="1">
      <alignment horizontal="left" vertical="center" indent="1"/>
    </xf>
    <xf numFmtId="0" fontId="14" fillId="53" borderId="31" xfId="49" applyFill="1" applyBorder="1" applyAlignment="1">
      <alignment horizontal="right" vertical="center"/>
    </xf>
    <xf numFmtId="2" fontId="45" fillId="42" borderId="55" xfId="26" applyNumberFormat="1" applyFont="1" applyBorder="1" applyAlignment="1">
      <alignment horizontal="right" vertical="center"/>
    </xf>
    <xf numFmtId="2" fontId="45" fillId="42" borderId="36" xfId="26" applyNumberFormat="1" applyFont="1" applyBorder="1" applyAlignment="1">
      <alignment horizontal="right" vertical="center"/>
    </xf>
    <xf numFmtId="0" fontId="14" fillId="53" borderId="1" xfId="51">
      <alignment horizontal="right" vertical="center"/>
    </xf>
    <xf numFmtId="2" fontId="45" fillId="42" borderId="5" xfId="26" applyNumberFormat="1" applyFont="1" applyBorder="1" applyAlignment="1">
      <alignment horizontal="right" vertical="center"/>
    </xf>
    <xf numFmtId="2" fontId="14" fillId="42" borderId="4" xfId="49" applyNumberFormat="1" applyFill="1" applyBorder="1" applyAlignment="1">
      <alignment horizontal="right" vertical="center"/>
    </xf>
    <xf numFmtId="2" fontId="14" fillId="54" borderId="157" xfId="49" applyNumberFormat="1" applyFill="1" applyBorder="1" applyAlignment="1">
      <alignment horizontal="left" vertical="center" indent="1"/>
    </xf>
    <xf numFmtId="2" fontId="216" fillId="42" borderId="1" xfId="26" applyNumberFormat="1" applyFont="1" applyBorder="1" applyAlignment="1">
      <alignment horizontal="right" vertical="center"/>
    </xf>
    <xf numFmtId="2" fontId="14" fillId="53" borderId="43" xfId="49" applyNumberFormat="1" applyFill="1" applyBorder="1" applyAlignment="1">
      <alignment horizontal="left" vertical="center" indent="1"/>
    </xf>
    <xf numFmtId="2" fontId="45" fillId="42" borderId="129" xfId="26" applyNumberFormat="1" applyFont="1" applyBorder="1" applyAlignment="1">
      <alignment horizontal="right" vertical="center"/>
    </xf>
    <xf numFmtId="2" fontId="45" fillId="42" borderId="17" xfId="26" applyNumberFormat="1" applyFont="1" applyBorder="1" applyAlignment="1">
      <alignment horizontal="right" vertical="center"/>
    </xf>
    <xf numFmtId="0" fontId="14" fillId="53" borderId="22" xfId="51" applyBorder="1">
      <alignment horizontal="right" vertical="center"/>
    </xf>
    <xf numFmtId="0" fontId="174" fillId="53" borderId="18" xfId="49" applyFont="1" applyFill="1" applyBorder="1" applyAlignment="1">
      <alignment horizontal="right" vertical="center"/>
    </xf>
    <xf numFmtId="0" fontId="13" fillId="53" borderId="74" xfId="49" applyFont="1" applyFill="1" applyBorder="1" applyAlignment="1">
      <alignment horizontal="right" vertical="center"/>
    </xf>
    <xf numFmtId="0" fontId="13" fillId="53" borderId="19" xfId="49" applyFont="1" applyFill="1" applyBorder="1" applyAlignment="1">
      <alignment horizontal="right" vertical="center"/>
    </xf>
    <xf numFmtId="0" fontId="13" fillId="53" borderId="19" xfId="50">
      <alignment horizontal="right" vertical="center"/>
    </xf>
    <xf numFmtId="0" fontId="13" fillId="53" borderId="54" xfId="50" applyBorder="1">
      <alignment horizontal="right" vertical="center"/>
    </xf>
    <xf numFmtId="0" fontId="13" fillId="53" borderId="20" xfId="50" applyBorder="1">
      <alignment horizontal="right" vertical="center"/>
    </xf>
    <xf numFmtId="0" fontId="14" fillId="53" borderId="4" xfId="52" applyBorder="1">
      <alignment horizontal="right" vertical="center"/>
    </xf>
    <xf numFmtId="0" fontId="14" fillId="53" borderId="28" xfId="52" applyBorder="1">
      <alignment horizontal="right" vertical="center"/>
    </xf>
    <xf numFmtId="0" fontId="14" fillId="53" borderId="49" xfId="52" applyBorder="1">
      <alignment horizontal="right" vertical="center"/>
    </xf>
    <xf numFmtId="0" fontId="13" fillId="53" borderId="1" xfId="50" applyBorder="1">
      <alignment horizontal="right" vertical="center"/>
    </xf>
    <xf numFmtId="0" fontId="14" fillId="42" borderId="132" xfId="26" applyFont="1" applyBorder="1" applyAlignment="1">
      <alignment horizontal="right" vertical="center"/>
    </xf>
    <xf numFmtId="0" fontId="13" fillId="53" borderId="13" xfId="49" applyFont="1" applyFill="1" applyBorder="1" applyAlignment="1">
      <alignment horizontal="right" vertical="center"/>
    </xf>
    <xf numFmtId="0" fontId="14" fillId="53" borderId="55" xfId="52" applyBorder="1">
      <alignment horizontal="right" vertical="center"/>
    </xf>
    <xf numFmtId="0" fontId="14" fillId="42" borderId="5" xfId="49" applyFill="1" applyBorder="1" applyAlignment="1">
      <alignment horizontal="right" vertical="center"/>
    </xf>
    <xf numFmtId="0" fontId="14" fillId="53" borderId="1" xfId="52" applyBorder="1">
      <alignment horizontal="right" vertical="center"/>
    </xf>
    <xf numFmtId="0" fontId="14" fillId="42" borderId="5" xfId="26" applyFont="1" applyBorder="1" applyAlignment="1">
      <alignment horizontal="right" vertical="center"/>
    </xf>
    <xf numFmtId="0" fontId="14" fillId="53" borderId="52" xfId="52" applyBorder="1">
      <alignment horizontal="right" vertical="center"/>
    </xf>
    <xf numFmtId="0" fontId="14" fillId="53" borderId="23" xfId="52" applyBorder="1">
      <alignment horizontal="right" vertical="center"/>
    </xf>
    <xf numFmtId="0" fontId="14" fillId="53" borderId="33" xfId="52" applyBorder="1">
      <alignment horizontal="right" vertical="center"/>
    </xf>
    <xf numFmtId="0" fontId="14" fillId="42" borderId="41" xfId="26" applyFont="1" applyBorder="1" applyAlignment="1">
      <alignment horizontal="right" vertical="center"/>
    </xf>
    <xf numFmtId="0" fontId="14" fillId="53" borderId="26" xfId="52" applyBorder="1">
      <alignment horizontal="right" vertical="center"/>
    </xf>
    <xf numFmtId="0" fontId="14" fillId="53" borderId="129" xfId="52" applyBorder="1">
      <alignment horizontal="right" vertical="center"/>
    </xf>
    <xf numFmtId="0" fontId="14" fillId="53" borderId="17" xfId="51" applyBorder="1">
      <alignment horizontal="right" vertical="center"/>
    </xf>
    <xf numFmtId="0" fontId="14" fillId="0" borderId="22" xfId="49" applyBorder="1" applyAlignment="1">
      <alignment horizontal="right" vertical="center"/>
    </xf>
    <xf numFmtId="2" fontId="13" fillId="53" borderId="63" xfId="49" applyNumberFormat="1" applyFont="1" applyFill="1" applyBorder="1" applyAlignment="1">
      <alignment vertical="center"/>
    </xf>
    <xf numFmtId="0" fontId="13" fillId="53" borderId="18" xfId="49" applyFont="1" applyFill="1" applyBorder="1" applyAlignment="1">
      <alignment horizontal="right" vertical="center"/>
    </xf>
    <xf numFmtId="0" fontId="13" fillId="53" borderId="58" xfId="50" applyBorder="1">
      <alignment horizontal="right" vertical="center"/>
    </xf>
    <xf numFmtId="0" fontId="14" fillId="42" borderId="4" xfId="49" applyFill="1" applyBorder="1" applyAlignment="1">
      <alignment horizontal="right" vertical="center"/>
    </xf>
    <xf numFmtId="2" fontId="216" fillId="42" borderId="2" xfId="26" applyNumberFormat="1" applyFont="1" applyBorder="1" applyAlignment="1">
      <alignment horizontal="right" vertical="center"/>
    </xf>
    <xf numFmtId="0" fontId="13" fillId="53" borderId="34" xfId="49" applyFont="1" applyFill="1" applyBorder="1" applyAlignment="1">
      <alignment horizontal="right" vertical="center"/>
    </xf>
    <xf numFmtId="0" fontId="14" fillId="53" borderId="5" xfId="51" applyBorder="1">
      <alignment horizontal="right" vertical="center"/>
    </xf>
    <xf numFmtId="0" fontId="14" fillId="53" borderId="59" xfId="51" applyBorder="1">
      <alignment horizontal="right" vertical="center"/>
    </xf>
    <xf numFmtId="0" fontId="14" fillId="53" borderId="60" xfId="51" applyBorder="1">
      <alignment horizontal="right" vertical="center"/>
    </xf>
    <xf numFmtId="0" fontId="13" fillId="53" borderId="70" xfId="50" applyBorder="1">
      <alignment horizontal="right" vertical="center"/>
    </xf>
    <xf numFmtId="2" fontId="13" fillId="0" borderId="21" xfId="49" applyNumberFormat="1" applyFont="1" applyBorder="1" applyAlignment="1">
      <alignment vertical="center"/>
    </xf>
    <xf numFmtId="0" fontId="13" fillId="0" borderId="48" xfId="49" applyFont="1" applyBorder="1" applyAlignment="1">
      <alignment horizontal="right" vertical="center"/>
    </xf>
    <xf numFmtId="0" fontId="13" fillId="0" borderId="28" xfId="49" applyFont="1" applyBorder="1" applyAlignment="1">
      <alignment horizontal="right" vertical="center"/>
    </xf>
    <xf numFmtId="0" fontId="13" fillId="0" borderId="49" xfId="49" applyFont="1" applyBorder="1" applyAlignment="1">
      <alignment horizontal="right" vertical="center"/>
    </xf>
    <xf numFmtId="0" fontId="13" fillId="0" borderId="49" xfId="50" applyFill="1" applyBorder="1">
      <alignment horizontal="right" vertical="center"/>
    </xf>
    <xf numFmtId="0" fontId="13" fillId="0" borderId="132" xfId="50" applyFill="1" applyBorder="1">
      <alignment horizontal="right" vertical="center"/>
    </xf>
    <xf numFmtId="0" fontId="13" fillId="0" borderId="13" xfId="50" applyFill="1" applyBorder="1">
      <alignment horizontal="right" vertical="center"/>
    </xf>
    <xf numFmtId="2" fontId="13" fillId="0" borderId="51" xfId="49" applyNumberFormat="1" applyFont="1" applyBorder="1" applyAlignment="1">
      <alignment vertical="center"/>
    </xf>
    <xf numFmtId="0" fontId="13" fillId="0" borderId="51" xfId="49" applyFont="1" applyBorder="1" applyAlignment="1">
      <alignment horizontal="right" vertical="center"/>
    </xf>
    <xf numFmtId="0" fontId="13" fillId="0" borderId="51" xfId="50" applyFill="1" applyBorder="1">
      <alignment horizontal="right" vertical="center"/>
    </xf>
    <xf numFmtId="2" fontId="13" fillId="53" borderId="47" xfId="49" quotePrefix="1" applyNumberFormat="1" applyFont="1" applyFill="1" applyBorder="1" applyAlignment="1">
      <alignment horizontal="left" vertical="center"/>
    </xf>
    <xf numFmtId="2" fontId="174" fillId="42" borderId="63" xfId="26" applyNumberFormat="1" applyFont="1" applyBorder="1" applyAlignment="1">
      <alignment horizontal="right" vertical="center"/>
    </xf>
    <xf numFmtId="2" fontId="174" fillId="42" borderId="72" xfId="26" applyNumberFormat="1" applyFont="1" applyBorder="1" applyAlignment="1">
      <alignment horizontal="right" vertical="center"/>
    </xf>
    <xf numFmtId="2" fontId="174" fillId="42" borderId="73" xfId="26" applyNumberFormat="1" applyFont="1" applyBorder="1" applyAlignment="1">
      <alignment horizontal="right" vertical="center"/>
    </xf>
    <xf numFmtId="2" fontId="174" fillId="42" borderId="58" xfId="26" applyNumberFormat="1" applyFont="1" applyBorder="1" applyAlignment="1">
      <alignment horizontal="right" vertical="center"/>
    </xf>
    <xf numFmtId="2" fontId="13" fillId="53" borderId="64" xfId="49" quotePrefix="1" applyNumberFormat="1" applyFont="1" applyFill="1" applyBorder="1" applyAlignment="1">
      <alignment horizontal="left" vertical="center" indent="1"/>
    </xf>
    <xf numFmtId="0" fontId="13" fillId="53" borderId="4" xfId="49" applyFont="1" applyFill="1" applyBorder="1" applyAlignment="1">
      <alignment horizontal="right" vertical="center"/>
    </xf>
    <xf numFmtId="0" fontId="13" fillId="53" borderId="1" xfId="49" applyFont="1" applyFill="1" applyBorder="1" applyAlignment="1">
      <alignment horizontal="right" vertical="center"/>
    </xf>
    <xf numFmtId="0" fontId="14" fillId="42" borderId="1" xfId="26" applyFont="1" applyBorder="1" applyAlignment="1">
      <alignment horizontal="right" vertical="center"/>
    </xf>
    <xf numFmtId="0" fontId="13" fillId="53" borderId="5" xfId="49" applyFont="1" applyFill="1" applyBorder="1" applyAlignment="1">
      <alignment horizontal="right" vertical="center"/>
    </xf>
    <xf numFmtId="0" fontId="14" fillId="53" borderId="4" xfId="49" applyFill="1" applyBorder="1" applyAlignment="1">
      <alignment horizontal="right" vertical="center"/>
    </xf>
    <xf numFmtId="0" fontId="14" fillId="54" borderId="64" xfId="29" applyFont="1" applyFill="1" applyBorder="1" applyAlignment="1">
      <alignment horizontal="left" vertical="center" indent="2"/>
    </xf>
    <xf numFmtId="2" fontId="13" fillId="53" borderId="64" xfId="49" applyNumberFormat="1" applyFont="1" applyFill="1" applyBorder="1" applyAlignment="1">
      <alignment horizontal="left" vertical="center" indent="1"/>
    </xf>
    <xf numFmtId="2" fontId="13" fillId="53" borderId="157" xfId="49" quotePrefix="1" applyNumberFormat="1" applyFont="1" applyFill="1" applyBorder="1" applyAlignment="1">
      <alignment horizontal="left" vertical="center" indent="1"/>
    </xf>
    <xf numFmtId="0" fontId="13" fillId="53" borderId="33" xfId="49" applyFont="1" applyFill="1" applyBorder="1" applyAlignment="1">
      <alignment horizontal="right" vertical="center"/>
    </xf>
    <xf numFmtId="2" fontId="174" fillId="42" borderId="49" xfId="26" applyNumberFormat="1" applyFont="1" applyBorder="1" applyAlignment="1">
      <alignment horizontal="right" vertical="center"/>
    </xf>
    <xf numFmtId="2" fontId="174" fillId="42" borderId="23" xfId="26" applyNumberFormat="1" applyFont="1" applyBorder="1" applyAlignment="1">
      <alignment horizontal="right" vertical="center"/>
    </xf>
    <xf numFmtId="2" fontId="174" fillId="42" borderId="132" xfId="26" applyNumberFormat="1" applyFont="1" applyBorder="1" applyAlignment="1">
      <alignment horizontal="right" vertical="center"/>
    </xf>
    <xf numFmtId="2" fontId="13" fillId="54" borderId="64" xfId="49" applyNumberFormat="1" applyFont="1" applyFill="1" applyBorder="1" applyAlignment="1">
      <alignment horizontal="left" vertical="center" indent="1"/>
    </xf>
    <xf numFmtId="0" fontId="13" fillId="54" borderId="33" xfId="49" applyFont="1" applyFill="1" applyBorder="1" applyAlignment="1">
      <alignment horizontal="right" vertical="center"/>
    </xf>
    <xf numFmtId="2" fontId="174" fillId="42" borderId="1" xfId="26" applyNumberFormat="1" applyFont="1" applyBorder="1" applyAlignment="1">
      <alignment horizontal="right" vertical="center"/>
    </xf>
    <xf numFmtId="2" fontId="174" fillId="42" borderId="5" xfId="26" applyNumberFormat="1" applyFont="1" applyBorder="1" applyAlignment="1">
      <alignment horizontal="right" vertical="center"/>
    </xf>
    <xf numFmtId="2" fontId="13" fillId="54" borderId="157" xfId="49" applyNumberFormat="1" applyFont="1" applyFill="1" applyBorder="1" applyAlignment="1">
      <alignment horizontal="left" vertical="center" indent="1"/>
    </xf>
    <xf numFmtId="2" fontId="174" fillId="42" borderId="17" xfId="26" applyNumberFormat="1" applyFont="1" applyBorder="1" applyAlignment="1">
      <alignment horizontal="right" vertical="center"/>
    </xf>
    <xf numFmtId="2" fontId="174" fillId="42" borderId="24" xfId="26" applyNumberFormat="1" applyFont="1" applyBorder="1" applyAlignment="1">
      <alignment horizontal="right" vertical="center"/>
    </xf>
    <xf numFmtId="0" fontId="13" fillId="54" borderId="50" xfId="48" applyFont="1" applyFill="1" applyBorder="1"/>
    <xf numFmtId="0" fontId="2" fillId="42" borderId="25" xfId="48" applyFill="1" applyBorder="1"/>
    <xf numFmtId="0" fontId="2" fillId="42" borderId="3" xfId="48" applyFill="1" applyBorder="1"/>
    <xf numFmtId="0" fontId="2" fillId="54" borderId="3" xfId="48" applyFill="1" applyBorder="1"/>
    <xf numFmtId="0" fontId="2" fillId="42" borderId="56" xfId="48" applyFill="1" applyBorder="1"/>
    <xf numFmtId="0" fontId="13" fillId="53" borderId="15" xfId="49" applyFont="1" applyFill="1" applyBorder="1" applyAlignment="1">
      <alignment horizontal="right" vertical="center"/>
    </xf>
    <xf numFmtId="0" fontId="13" fillId="23" borderId="51" xfId="48" applyFont="1" applyFill="1" applyBorder="1"/>
    <xf numFmtId="0" fontId="2" fillId="23" borderId="51" xfId="48" applyFill="1" applyBorder="1"/>
    <xf numFmtId="0" fontId="13" fillId="54" borderId="25" xfId="48" applyFont="1" applyFill="1" applyBorder="1"/>
    <xf numFmtId="0" fontId="2" fillId="42" borderId="152" xfId="48" applyFill="1" applyBorder="1"/>
    <xf numFmtId="0" fontId="13" fillId="0" borderId="0" xfId="48" applyFont="1"/>
    <xf numFmtId="2" fontId="179" fillId="0" borderId="0" xfId="48" applyNumberFormat="1" applyFont="1" applyAlignment="1">
      <alignment horizontal="left" vertical="top"/>
    </xf>
    <xf numFmtId="2" fontId="45" fillId="0" borderId="0" xfId="48" applyNumberFormat="1" applyFont="1" applyAlignment="1">
      <alignment horizontal="left" vertical="top"/>
    </xf>
    <xf numFmtId="2" fontId="179" fillId="0" borderId="0" xfId="48" applyNumberFormat="1" applyFont="1" applyAlignment="1" applyProtection="1">
      <alignment horizontal="left" vertical="center"/>
      <protection locked="0"/>
    </xf>
    <xf numFmtId="0" fontId="2" fillId="0" borderId="0" xfId="48" applyAlignment="1">
      <alignment horizontal="left" vertical="center"/>
    </xf>
    <xf numFmtId="2" fontId="45" fillId="0" borderId="0" xfId="48" applyNumberFormat="1" applyFont="1" applyAlignment="1" applyProtection="1">
      <alignment horizontal="left" vertical="center"/>
      <protection locked="0"/>
    </xf>
    <xf numFmtId="2" fontId="164" fillId="0" borderId="0" xfId="48" applyNumberFormat="1" applyFont="1" applyAlignment="1" applyProtection="1">
      <alignment horizontal="left" vertical="center"/>
      <protection locked="0"/>
    </xf>
    <xf numFmtId="173" fontId="164" fillId="0" borderId="0" xfId="49" applyNumberFormat="1" applyFont="1" applyAlignment="1" applyProtection="1">
      <alignment horizontal="left" vertical="center"/>
      <protection locked="0"/>
    </xf>
    <xf numFmtId="173" fontId="164" fillId="0" borderId="0" xfId="48" applyNumberFormat="1" applyFont="1" applyAlignment="1" applyProtection="1">
      <alignment horizontal="left" vertical="center"/>
      <protection locked="0"/>
    </xf>
    <xf numFmtId="173" fontId="14" fillId="0" borderId="0" xfId="48" applyNumberFormat="1" applyFont="1" applyAlignment="1" applyProtection="1">
      <alignment horizontal="left" vertical="center"/>
      <protection locked="0"/>
    </xf>
    <xf numFmtId="173" fontId="164" fillId="0" borderId="0" xfId="48" applyNumberFormat="1" applyFont="1" applyAlignment="1">
      <alignment horizontal="left" vertical="top"/>
    </xf>
    <xf numFmtId="0" fontId="2" fillId="0" borderId="0" xfId="48" applyAlignment="1">
      <alignment horizontal="left"/>
    </xf>
    <xf numFmtId="0" fontId="14" fillId="0" borderId="0" xfId="49" applyAlignment="1">
      <alignment vertical="center"/>
    </xf>
    <xf numFmtId="2" fontId="13" fillId="53" borderId="53" xfId="49" applyNumberFormat="1" applyFont="1" applyFill="1" applyBorder="1"/>
    <xf numFmtId="2" fontId="174" fillId="53" borderId="19" xfId="49" applyNumberFormat="1" applyFont="1" applyFill="1" applyBorder="1" applyAlignment="1">
      <alignment horizontal="center" vertical="center"/>
    </xf>
    <xf numFmtId="2" fontId="174" fillId="53" borderId="20" xfId="49" applyNumberFormat="1" applyFont="1" applyFill="1" applyBorder="1" applyAlignment="1">
      <alignment horizontal="center" vertical="center"/>
    </xf>
    <xf numFmtId="2" fontId="13" fillId="53" borderId="66" xfId="49" applyNumberFormat="1" applyFont="1" applyFill="1" applyBorder="1" applyAlignment="1">
      <alignment horizontal="left" vertical="top"/>
    </xf>
    <xf numFmtId="2" fontId="174" fillId="53" borderId="143" xfId="49" applyNumberFormat="1" applyFont="1" applyFill="1" applyBorder="1" applyAlignment="1">
      <alignment horizontal="centerContinuous" vertical="center"/>
    </xf>
    <xf numFmtId="2" fontId="13" fillId="53" borderId="35" xfId="49" applyNumberFormat="1" applyFont="1" applyFill="1" applyBorder="1" applyAlignment="1">
      <alignment vertical="center"/>
    </xf>
    <xf numFmtId="0" fontId="214" fillId="53" borderId="158" xfId="49" applyFont="1" applyFill="1" applyBorder="1" applyAlignment="1">
      <alignment horizontal="right" vertical="center"/>
    </xf>
    <xf numFmtId="2" fontId="13" fillId="53" borderId="18" xfId="49" applyNumberFormat="1" applyFont="1" applyFill="1" applyBorder="1" applyAlignment="1">
      <alignment vertical="center"/>
    </xf>
    <xf numFmtId="4" fontId="214" fillId="42" borderId="19" xfId="26" applyNumberFormat="1" applyFont="1" applyBorder="1" applyAlignment="1">
      <alignment horizontal="right" vertical="center"/>
    </xf>
    <xf numFmtId="4" fontId="214" fillId="42" borderId="61" xfId="26" applyNumberFormat="1" applyFont="1" applyBorder="1" applyAlignment="1">
      <alignment horizontal="right" vertical="center"/>
    </xf>
    <xf numFmtId="4" fontId="45" fillId="42" borderId="19" xfId="26" applyNumberFormat="1" applyFont="1" applyBorder="1" applyAlignment="1">
      <alignment horizontal="right" vertical="center"/>
    </xf>
    <xf numFmtId="0" fontId="13" fillId="53" borderId="73" xfId="50" applyBorder="1">
      <alignment horizontal="right" vertical="center"/>
    </xf>
    <xf numFmtId="0" fontId="0" fillId="0" borderId="0" xfId="53" applyFont="1" applyBorder="1"/>
    <xf numFmtId="2" fontId="14" fillId="53" borderId="4" xfId="49" applyNumberFormat="1" applyFill="1" applyBorder="1" applyAlignment="1">
      <alignment horizontal="left" vertical="center" indent="2"/>
    </xf>
    <xf numFmtId="4" fontId="14" fillId="42" borderId="1" xfId="26" applyNumberFormat="1" applyFont="1" applyBorder="1" applyAlignment="1">
      <alignment horizontal="right" vertical="center"/>
    </xf>
    <xf numFmtId="0" fontId="14" fillId="53" borderId="138" xfId="51" applyBorder="1">
      <alignment horizontal="right" vertical="center"/>
    </xf>
    <xf numFmtId="0" fontId="14" fillId="53" borderId="4" xfId="29" applyFont="1" applyFill="1" applyBorder="1">
      <alignment horizontal="left" vertical="center" indent="5"/>
    </xf>
    <xf numFmtId="0" fontId="14" fillId="53" borderId="4" xfId="29" applyFont="1" applyFill="1" applyBorder="1" applyAlignment="1">
      <alignment horizontal="left" vertical="center" wrapText="1" indent="5"/>
    </xf>
    <xf numFmtId="0" fontId="14" fillId="54" borderId="26" xfId="28" applyFont="1" applyFill="1" applyBorder="1">
      <alignment horizontal="left" vertical="center" indent="2"/>
    </xf>
    <xf numFmtId="4" fontId="14" fillId="42" borderId="17" xfId="26" applyNumberFormat="1" applyFont="1" applyBorder="1" applyAlignment="1">
      <alignment horizontal="right" vertical="center"/>
    </xf>
    <xf numFmtId="4" fontId="45" fillId="42" borderId="17" xfId="26" applyNumberFormat="1" applyFont="1" applyBorder="1" applyAlignment="1">
      <alignment horizontal="right" vertical="center"/>
    </xf>
    <xf numFmtId="0" fontId="14" fillId="53" borderId="45" xfId="51" applyBorder="1">
      <alignment horizontal="right" vertical="center"/>
    </xf>
    <xf numFmtId="2" fontId="13" fillId="54" borderId="18" xfId="49" applyNumberFormat="1" applyFont="1" applyFill="1" applyBorder="1" applyAlignment="1">
      <alignment vertical="center"/>
    </xf>
    <xf numFmtId="0" fontId="14" fillId="53" borderId="19" xfId="51" applyBorder="1">
      <alignment horizontal="right" vertical="center"/>
    </xf>
    <xf numFmtId="0" fontId="14" fillId="54" borderId="4" xfId="28" applyFont="1" applyFill="1" applyBorder="1">
      <alignment horizontal="left" vertical="center" indent="2"/>
    </xf>
    <xf numFmtId="4" fontId="14" fillId="54" borderId="1" xfId="26" applyNumberFormat="1" applyFont="1" applyFill="1" applyBorder="1" applyAlignment="1">
      <alignment horizontal="right" vertical="center"/>
    </xf>
    <xf numFmtId="0" fontId="14" fillId="54" borderId="4" xfId="28" applyFont="1" applyFill="1" applyBorder="1" applyAlignment="1">
      <alignment horizontal="left" vertical="center" wrapText="1" indent="2"/>
    </xf>
    <xf numFmtId="2" fontId="13" fillId="53" borderId="18" xfId="49" quotePrefix="1" applyNumberFormat="1" applyFont="1" applyFill="1" applyBorder="1" applyAlignment="1">
      <alignment horizontal="left" vertical="center"/>
    </xf>
    <xf numFmtId="4" fontId="215" fillId="42" borderId="19" xfId="26" applyNumberFormat="1" applyFont="1" applyBorder="1" applyAlignment="1">
      <alignment horizontal="right" vertical="center"/>
    </xf>
    <xf numFmtId="4" fontId="14" fillId="42" borderId="1" xfId="49" applyNumberFormat="1" applyFill="1" applyBorder="1" applyAlignment="1">
      <alignment horizontal="right" vertical="center"/>
    </xf>
    <xf numFmtId="0" fontId="14" fillId="42" borderId="1" xfId="51" applyFill="1">
      <alignment horizontal="right" vertical="center"/>
    </xf>
    <xf numFmtId="2" fontId="14" fillId="53" borderId="26" xfId="49" applyNumberFormat="1" applyFill="1" applyBorder="1" applyAlignment="1">
      <alignment horizontal="left" vertical="center" indent="2"/>
    </xf>
    <xf numFmtId="4" fontId="14" fillId="54" borderId="17" xfId="26" applyNumberFormat="1" applyFont="1" applyFill="1" applyBorder="1" applyAlignment="1">
      <alignment horizontal="right" vertical="center"/>
    </xf>
    <xf numFmtId="4" fontId="14" fillId="54" borderId="19" xfId="26" applyNumberFormat="1" applyFont="1" applyFill="1" applyBorder="1" applyAlignment="1">
      <alignment horizontal="right" vertical="center"/>
    </xf>
    <xf numFmtId="4" fontId="214" fillId="42" borderId="1" xfId="26" applyNumberFormat="1" applyFont="1" applyBorder="1" applyAlignment="1">
      <alignment horizontal="right" vertical="center"/>
    </xf>
    <xf numFmtId="4" fontId="215" fillId="42" borderId="1" xfId="26" applyNumberFormat="1" applyFont="1" applyBorder="1" applyAlignment="1">
      <alignment horizontal="right" vertical="center"/>
    </xf>
    <xf numFmtId="2" fontId="14" fillId="42" borderId="52" xfId="26" applyNumberFormat="1" applyFont="1" applyBorder="1" applyAlignment="1">
      <alignment horizontal="right" vertical="center"/>
    </xf>
    <xf numFmtId="4" fontId="214" fillId="42" borderId="17" xfId="26" applyNumberFormat="1" applyFont="1" applyBorder="1" applyAlignment="1">
      <alignment horizontal="right" vertical="center"/>
    </xf>
    <xf numFmtId="4" fontId="215" fillId="42" borderId="17" xfId="26" applyNumberFormat="1" applyFont="1" applyBorder="1" applyAlignment="1">
      <alignment horizontal="right" vertical="center"/>
    </xf>
    <xf numFmtId="2" fontId="14" fillId="54" borderId="4" xfId="49" applyNumberFormat="1" applyFill="1" applyBorder="1" applyAlignment="1">
      <alignment horizontal="left" vertical="center" indent="2"/>
    </xf>
    <xf numFmtId="2" fontId="14" fillId="53" borderId="4" xfId="49" applyNumberFormat="1" applyFill="1" applyBorder="1" applyAlignment="1">
      <alignment horizontal="left" vertical="center" wrapText="1" indent="2"/>
    </xf>
    <xf numFmtId="0" fontId="14" fillId="54" borderId="124" xfId="51" applyFill="1" applyBorder="1">
      <alignment horizontal="right" vertical="center"/>
    </xf>
    <xf numFmtId="4" fontId="14" fillId="54" borderId="124" xfId="26" applyNumberFormat="1" applyFont="1" applyFill="1" applyBorder="1" applyAlignment="1">
      <alignment horizontal="right" vertical="center"/>
    </xf>
    <xf numFmtId="4" fontId="45" fillId="54" borderId="124" xfId="26" applyNumberFormat="1" applyFont="1" applyFill="1" applyBorder="1" applyAlignment="1">
      <alignment horizontal="right" vertical="center"/>
    </xf>
    <xf numFmtId="0" fontId="14" fillId="54" borderId="7" xfId="51" applyFill="1" applyBorder="1">
      <alignment horizontal="right" vertical="center"/>
    </xf>
    <xf numFmtId="4" fontId="13" fillId="42" borderId="61" xfId="26" applyNumberFormat="1" applyFont="1" applyBorder="1" applyAlignment="1">
      <alignment horizontal="right" vertical="center"/>
    </xf>
    <xf numFmtId="4" fontId="13" fillId="42" borderId="72" xfId="26" applyNumberFormat="1" applyFont="1" applyBorder="1" applyAlignment="1">
      <alignment horizontal="right" vertical="center"/>
    </xf>
    <xf numFmtId="4" fontId="174" fillId="42" borderId="72" xfId="26" applyNumberFormat="1" applyFont="1" applyBorder="1" applyAlignment="1">
      <alignment horizontal="right" vertical="center"/>
    </xf>
    <xf numFmtId="4" fontId="174" fillId="42" borderId="74" xfId="26" applyNumberFormat="1" applyFont="1" applyBorder="1" applyAlignment="1">
      <alignment horizontal="right" vertical="center"/>
    </xf>
    <xf numFmtId="4" fontId="14" fillId="42" borderId="20" xfId="26" applyNumberFormat="1" applyFont="1" applyBorder="1" applyAlignment="1">
      <alignment horizontal="right" vertical="center"/>
    </xf>
    <xf numFmtId="2" fontId="13" fillId="53" borderId="4" xfId="49" quotePrefix="1" applyNumberFormat="1" applyFont="1" applyFill="1" applyBorder="1" applyAlignment="1">
      <alignment horizontal="left" vertical="center" indent="1"/>
    </xf>
    <xf numFmtId="4" fontId="14" fillId="53" borderId="1" xfId="49" applyNumberFormat="1" applyFill="1" applyBorder="1" applyAlignment="1">
      <alignment horizontal="right" vertical="center"/>
    </xf>
    <xf numFmtId="4" fontId="13" fillId="42" borderId="1" xfId="26" applyNumberFormat="1" applyFont="1" applyBorder="1" applyAlignment="1">
      <alignment horizontal="right" vertical="center"/>
    </xf>
    <xf numFmtId="4" fontId="13" fillId="42" borderId="32" xfId="26" applyNumberFormat="1" applyFont="1" applyBorder="1" applyAlignment="1">
      <alignment horizontal="right" vertical="center"/>
    </xf>
    <xf numFmtId="4" fontId="174" fillId="42" borderId="32" xfId="26" applyNumberFormat="1" applyFont="1" applyBorder="1" applyAlignment="1">
      <alignment horizontal="right" vertical="center"/>
    </xf>
    <xf numFmtId="4" fontId="14" fillId="53" borderId="5" xfId="49" applyNumberFormat="1" applyFill="1" applyBorder="1" applyAlignment="1">
      <alignment horizontal="right" vertical="center"/>
    </xf>
    <xf numFmtId="0" fontId="14" fillId="53" borderId="4" xfId="29" applyFont="1" applyFill="1" applyBorder="1" applyAlignment="1">
      <alignment horizontal="left" vertical="center" indent="2"/>
    </xf>
    <xf numFmtId="4" fontId="14" fillId="53" borderId="2" xfId="49" applyNumberFormat="1" applyFill="1" applyBorder="1" applyAlignment="1">
      <alignment horizontal="right" vertical="center"/>
    </xf>
    <xf numFmtId="4" fontId="45" fillId="42" borderId="29" xfId="26" applyNumberFormat="1" applyFont="1" applyBorder="1" applyAlignment="1">
      <alignment horizontal="right" vertical="center"/>
    </xf>
    <xf numFmtId="4" fontId="14" fillId="53" borderId="36" xfId="49" applyNumberFormat="1" applyFill="1" applyBorder="1" applyAlignment="1">
      <alignment horizontal="right" vertical="center"/>
    </xf>
    <xf numFmtId="0" fontId="14" fillId="54" borderId="4" xfId="29" applyFont="1" applyFill="1" applyBorder="1" applyAlignment="1">
      <alignment horizontal="left" vertical="center" indent="2"/>
    </xf>
    <xf numFmtId="4" fontId="45" fillId="42" borderId="32" xfId="26" applyNumberFormat="1" applyFont="1" applyBorder="1" applyAlignment="1">
      <alignment horizontal="right" vertical="center"/>
    </xf>
    <xf numFmtId="2" fontId="13" fillId="53" borderId="4" xfId="49" applyNumberFormat="1" applyFont="1" applyFill="1" applyBorder="1" applyAlignment="1">
      <alignment horizontal="left" vertical="center" indent="1"/>
    </xf>
    <xf numFmtId="4" fontId="214" fillId="53" borderId="1" xfId="49" applyNumberFormat="1" applyFont="1" applyFill="1" applyBorder="1" applyAlignment="1">
      <alignment horizontal="right" vertical="center"/>
    </xf>
    <xf numFmtId="4" fontId="214" fillId="42" borderId="32" xfId="26" applyNumberFormat="1" applyFont="1" applyBorder="1" applyAlignment="1">
      <alignment horizontal="right" vertical="center"/>
    </xf>
    <xf numFmtId="4" fontId="215" fillId="42" borderId="29" xfId="26" applyNumberFormat="1" applyFont="1" applyBorder="1" applyAlignment="1">
      <alignment horizontal="right" vertical="center"/>
    </xf>
    <xf numFmtId="4" fontId="214" fillId="53" borderId="36" xfId="49" applyNumberFormat="1" applyFont="1" applyFill="1" applyBorder="1" applyAlignment="1">
      <alignment horizontal="right" vertical="center"/>
    </xf>
    <xf numFmtId="4" fontId="214" fillId="53" borderId="5" xfId="49" applyNumberFormat="1" applyFont="1" applyFill="1" applyBorder="1" applyAlignment="1">
      <alignment horizontal="right" vertical="center"/>
    </xf>
    <xf numFmtId="2" fontId="13" fillId="54" borderId="4" xfId="49" applyNumberFormat="1" applyFont="1" applyFill="1" applyBorder="1" applyAlignment="1">
      <alignment horizontal="left" vertical="center" indent="1"/>
    </xf>
    <xf numFmtId="2" fontId="13" fillId="54" borderId="33" xfId="49" applyNumberFormat="1" applyFont="1" applyFill="1" applyBorder="1" applyAlignment="1">
      <alignment horizontal="left" vertical="center" indent="1"/>
    </xf>
    <xf numFmtId="4" fontId="214" fillId="53" borderId="23" xfId="49" applyNumberFormat="1" applyFont="1" applyFill="1" applyBorder="1" applyAlignment="1">
      <alignment horizontal="right" vertical="center"/>
    </xf>
    <xf numFmtId="4" fontId="214" fillId="42" borderId="23" xfId="26" applyNumberFormat="1" applyFont="1" applyBorder="1" applyAlignment="1">
      <alignment horizontal="right" vertical="center"/>
    </xf>
    <xf numFmtId="4" fontId="215" fillId="42" borderId="23" xfId="26" applyNumberFormat="1" applyFont="1" applyBorder="1" applyAlignment="1">
      <alignment horizontal="right" vertical="center"/>
    </xf>
    <xf numFmtId="4" fontId="214" fillId="53" borderId="24" xfId="49" applyNumberFormat="1" applyFont="1" applyFill="1" applyBorder="1" applyAlignment="1">
      <alignment horizontal="right" vertical="center"/>
    </xf>
    <xf numFmtId="0" fontId="13" fillId="54" borderId="26" xfId="12" applyFont="1" applyFill="1" applyBorder="1"/>
    <xf numFmtId="0" fontId="18" fillId="42" borderId="17" xfId="54" applyFill="1" applyBorder="1"/>
    <xf numFmtId="0" fontId="18" fillId="54" borderId="17" xfId="54" applyFill="1" applyBorder="1"/>
    <xf numFmtId="0" fontId="0" fillId="42" borderId="17" xfId="54" applyFont="1" applyFill="1" applyBorder="1"/>
    <xf numFmtId="0" fontId="0" fillId="42" borderId="22" xfId="54" applyFont="1" applyFill="1" applyBorder="1"/>
    <xf numFmtId="0" fontId="13" fillId="0" borderId="0" xfId="12" applyFont="1"/>
    <xf numFmtId="0" fontId="18" fillId="0" borderId="0" xfId="54" applyBorder="1"/>
    <xf numFmtId="0" fontId="0" fillId="0" borderId="0" xfId="54" applyFont="1" applyBorder="1"/>
    <xf numFmtId="2" fontId="13" fillId="54" borderId="25" xfId="49" applyNumberFormat="1" applyFont="1" applyFill="1" applyBorder="1" applyAlignment="1">
      <alignment horizontal="left" vertical="center"/>
    </xf>
    <xf numFmtId="0" fontId="18" fillId="54" borderId="3" xfId="54" applyFill="1" applyBorder="1"/>
    <xf numFmtId="0" fontId="18" fillId="42" borderId="3" xfId="54" applyFill="1" applyBorder="1"/>
    <xf numFmtId="0" fontId="0" fillId="42" borderId="3" xfId="54" applyFont="1" applyFill="1" applyBorder="1"/>
    <xf numFmtId="0" fontId="0" fillId="42" borderId="56" xfId="54" applyFont="1" applyFill="1" applyBorder="1"/>
    <xf numFmtId="0" fontId="18" fillId="3" borderId="0" xfId="12" applyFill="1"/>
    <xf numFmtId="0" fontId="18" fillId="3" borderId="0" xfId="54" applyFill="1" applyBorder="1"/>
    <xf numFmtId="4" fontId="219" fillId="53" borderId="63" xfId="49" applyNumberFormat="1" applyFont="1" applyFill="1" applyBorder="1" applyAlignment="1">
      <alignment horizontal="right" vertical="center"/>
    </xf>
    <xf numFmtId="4" fontId="219" fillId="53" borderId="72" xfId="49" applyNumberFormat="1" applyFont="1" applyFill="1" applyBorder="1" applyAlignment="1">
      <alignment horizontal="right" vertical="center"/>
    </xf>
    <xf numFmtId="4" fontId="13" fillId="53" borderId="63" xfId="49" applyNumberFormat="1" applyFont="1" applyFill="1" applyBorder="1" applyAlignment="1">
      <alignment horizontal="right" vertical="center"/>
    </xf>
    <xf numFmtId="4" fontId="214" fillId="53" borderId="20" xfId="49" applyNumberFormat="1" applyFont="1" applyFill="1" applyBorder="1" applyAlignment="1">
      <alignment horizontal="right" vertical="center"/>
    </xf>
    <xf numFmtId="4" fontId="219" fillId="53" borderId="64" xfId="49" applyNumberFormat="1" applyFont="1" applyFill="1" applyBorder="1" applyAlignment="1">
      <alignment horizontal="right" vertical="center"/>
    </xf>
    <xf numFmtId="4" fontId="219" fillId="53" borderId="65" xfId="49" applyNumberFormat="1" applyFont="1" applyFill="1" applyBorder="1" applyAlignment="1">
      <alignment horizontal="right" vertical="center"/>
    </xf>
    <xf numFmtId="4" fontId="13" fillId="53" borderId="64" xfId="49" applyNumberFormat="1" applyFont="1" applyFill="1" applyBorder="1" applyAlignment="1">
      <alignment horizontal="right" vertical="center"/>
    </xf>
    <xf numFmtId="4" fontId="219" fillId="53" borderId="43" xfId="49" applyNumberFormat="1" applyFont="1" applyFill="1" applyBorder="1" applyAlignment="1">
      <alignment horizontal="right" vertical="center"/>
    </xf>
    <xf numFmtId="4" fontId="219" fillId="53" borderId="44" xfId="49" applyNumberFormat="1" applyFont="1" applyFill="1" applyBorder="1" applyAlignment="1">
      <alignment horizontal="right" vertical="center"/>
    </xf>
    <xf numFmtId="4" fontId="13" fillId="53" borderId="43" xfId="49" applyNumberFormat="1" applyFont="1" applyFill="1" applyBorder="1" applyAlignment="1">
      <alignment horizontal="right" vertical="center"/>
    </xf>
    <xf numFmtId="4" fontId="214" fillId="53" borderId="22" xfId="49" applyNumberFormat="1" applyFont="1" applyFill="1" applyBorder="1" applyAlignment="1">
      <alignment horizontal="right" vertical="center"/>
    </xf>
    <xf numFmtId="2" fontId="174" fillId="0" borderId="0" xfId="49" applyNumberFormat="1" applyFont="1" applyAlignment="1">
      <alignment horizontal="right" vertical="center"/>
    </xf>
    <xf numFmtId="0" fontId="14" fillId="0" borderId="0" xfId="49" applyAlignment="1">
      <alignment horizontal="right" vertical="center"/>
    </xf>
    <xf numFmtId="0" fontId="168" fillId="0" borderId="0" xfId="49" applyFont="1" applyAlignment="1">
      <alignment horizontal="left" vertical="top"/>
    </xf>
    <xf numFmtId="0" fontId="18" fillId="0" borderId="0" xfId="12" applyAlignment="1">
      <alignment vertical="top"/>
    </xf>
    <xf numFmtId="0" fontId="220" fillId="0" borderId="0" xfId="49" applyFont="1" applyAlignment="1">
      <alignment horizontal="left" vertical="top"/>
    </xf>
    <xf numFmtId="2" fontId="14" fillId="53" borderId="55" xfId="49" applyNumberFormat="1" applyFill="1" applyBorder="1" applyAlignment="1">
      <alignment horizontal="center" vertical="center"/>
    </xf>
    <xf numFmtId="2" fontId="45" fillId="42" borderId="1" xfId="26" applyNumberFormat="1" applyFont="1" applyBorder="1" applyAlignment="1">
      <alignment horizontal="center" vertical="center"/>
    </xf>
    <xf numFmtId="2" fontId="14" fillId="53" borderId="1" xfId="51" applyNumberFormat="1">
      <alignment horizontal="right" vertical="center"/>
    </xf>
    <xf numFmtId="2" fontId="13" fillId="53" borderId="31" xfId="49" applyNumberFormat="1" applyFont="1" applyFill="1" applyBorder="1" applyAlignment="1">
      <alignment horizontal="center" vertical="center"/>
    </xf>
    <xf numFmtId="2" fontId="14" fillId="53" borderId="31" xfId="49" applyNumberFormat="1" applyFill="1" applyBorder="1" applyAlignment="1">
      <alignment horizontal="center" vertical="center"/>
    </xf>
    <xf numFmtId="2" fontId="45" fillId="42" borderId="2" xfId="26" applyNumberFormat="1" applyFont="1" applyBorder="1" applyAlignment="1">
      <alignment horizontal="center" vertical="center"/>
    </xf>
    <xf numFmtId="4" fontId="14" fillId="53" borderId="55" xfId="49" applyNumberFormat="1" applyFill="1" applyBorder="1" applyAlignment="1">
      <alignment horizontal="center" vertical="center"/>
    </xf>
    <xf numFmtId="0" fontId="14" fillId="53" borderId="55" xfId="49" applyFill="1" applyBorder="1" applyAlignment="1">
      <alignment horizontal="center" vertical="center"/>
    </xf>
    <xf numFmtId="2" fontId="13" fillId="53" borderId="34" xfId="49" applyNumberFormat="1" applyFont="1" applyFill="1" applyBorder="1" applyAlignment="1">
      <alignment horizontal="center" vertical="center"/>
    </xf>
    <xf numFmtId="2" fontId="45" fillId="54" borderId="33" xfId="26" applyNumberFormat="1" applyFont="1" applyFill="1" applyBorder="1" applyAlignment="1">
      <alignment horizontal="center" vertical="center"/>
    </xf>
    <xf numFmtId="0" fontId="14" fillId="42" borderId="52" xfId="49" applyFill="1" applyBorder="1" applyAlignment="1">
      <alignment horizontal="center" vertical="center"/>
    </xf>
    <xf numFmtId="2" fontId="45" fillId="54" borderId="4" xfId="26" applyNumberFormat="1" applyFont="1" applyFill="1" applyBorder="1" applyAlignment="1">
      <alignment horizontal="center" vertical="center"/>
    </xf>
    <xf numFmtId="0" fontId="174" fillId="53" borderId="34" xfId="49" applyFont="1" applyFill="1" applyBorder="1" applyAlignment="1">
      <alignment horizontal="center" vertical="center"/>
    </xf>
    <xf numFmtId="0" fontId="14" fillId="53" borderId="129" xfId="49" applyFill="1" applyBorder="1" applyAlignment="1">
      <alignment horizontal="center" vertical="center"/>
    </xf>
    <xf numFmtId="0" fontId="14" fillId="53" borderId="17" xfId="49" applyFill="1" applyBorder="1" applyAlignment="1">
      <alignment horizontal="center" vertical="center"/>
    </xf>
    <xf numFmtId="2" fontId="13" fillId="53" borderId="2" xfId="50" applyNumberFormat="1" applyBorder="1">
      <alignment horizontal="right" vertical="center"/>
    </xf>
    <xf numFmtId="0" fontId="2" fillId="0" borderId="1" xfId="48" applyBorder="1" applyAlignment="1">
      <alignment horizontal="center"/>
    </xf>
    <xf numFmtId="4" fontId="13" fillId="53" borderId="58" xfId="49" applyNumberFormat="1" applyFont="1" applyFill="1" applyBorder="1" applyAlignment="1">
      <alignment horizontal="right" vertical="center"/>
    </xf>
    <xf numFmtId="0" fontId="14" fillId="53" borderId="1" xfId="51" applyAlignment="1">
      <alignment horizontal="center" vertical="center"/>
    </xf>
    <xf numFmtId="4" fontId="13" fillId="53" borderId="19" xfId="50" applyNumberFormat="1">
      <alignment horizontal="right" vertical="center"/>
    </xf>
    <xf numFmtId="4" fontId="13" fillId="53" borderId="73" xfId="50" applyNumberFormat="1" applyBorder="1">
      <alignment horizontal="right" vertical="center"/>
    </xf>
    <xf numFmtId="0" fontId="13" fillId="53" borderId="45" xfId="51" applyFont="1" applyBorder="1">
      <alignment horizontal="right" vertical="center"/>
    </xf>
    <xf numFmtId="173" fontId="13" fillId="53" borderId="46" xfId="49" quotePrefix="1" applyNumberFormat="1" applyFont="1" applyFill="1" applyBorder="1" applyAlignment="1">
      <alignment horizontal="left" vertical="center" wrapText="1"/>
    </xf>
    <xf numFmtId="173" fontId="174" fillId="53" borderId="61" xfId="49" quotePrefix="1" applyNumberFormat="1" applyFont="1" applyFill="1" applyBorder="1" applyAlignment="1">
      <alignment horizontal="centerContinuous" vertical="center"/>
    </xf>
    <xf numFmtId="173" fontId="174" fillId="53" borderId="74" xfId="49" quotePrefix="1" applyNumberFormat="1" applyFont="1" applyFill="1" applyBorder="1" applyAlignment="1">
      <alignment horizontal="centerContinuous" vertical="center"/>
    </xf>
    <xf numFmtId="173" fontId="174" fillId="53" borderId="61" xfId="49" applyNumberFormat="1" applyFont="1" applyFill="1" applyBorder="1" applyAlignment="1">
      <alignment horizontal="centerContinuous" vertical="center"/>
    </xf>
    <xf numFmtId="173" fontId="174" fillId="53" borderId="72" xfId="49" applyNumberFormat="1" applyFont="1" applyFill="1" applyBorder="1" applyAlignment="1">
      <alignment horizontal="centerContinuous" vertical="center"/>
    </xf>
    <xf numFmtId="173" fontId="13" fillId="53" borderId="61" xfId="49" applyNumberFormat="1" applyFont="1" applyFill="1" applyBorder="1" applyAlignment="1">
      <alignment horizontal="centerContinuous" vertical="center" wrapText="1"/>
    </xf>
    <xf numFmtId="173" fontId="13" fillId="53" borderId="72" xfId="49" quotePrefix="1" applyNumberFormat="1" applyFont="1" applyFill="1" applyBorder="1" applyAlignment="1">
      <alignment horizontal="centerContinuous" vertical="center"/>
    </xf>
    <xf numFmtId="173" fontId="13" fillId="53" borderId="61" xfId="49" quotePrefix="1" applyNumberFormat="1" applyFont="1" applyFill="1" applyBorder="1" applyAlignment="1">
      <alignment horizontal="centerContinuous" vertical="center"/>
    </xf>
    <xf numFmtId="173" fontId="174" fillId="53" borderId="73" xfId="49" quotePrefix="1" applyNumberFormat="1" applyFont="1" applyFill="1" applyBorder="1" applyAlignment="1">
      <alignment horizontal="centerContinuous" vertical="center"/>
    </xf>
    <xf numFmtId="173" fontId="13" fillId="53" borderId="66" xfId="49" applyNumberFormat="1" applyFont="1" applyFill="1" applyBorder="1" applyAlignment="1">
      <alignment vertical="top"/>
    </xf>
    <xf numFmtId="173" fontId="174" fillId="53" borderId="133" xfId="49" applyNumberFormat="1" applyFont="1" applyFill="1" applyBorder="1" applyAlignment="1">
      <alignment horizontal="center" vertical="center" wrapText="1"/>
    </xf>
    <xf numFmtId="173" fontId="174" fillId="53" borderId="159" xfId="49" applyNumberFormat="1" applyFont="1" applyFill="1" applyBorder="1" applyAlignment="1">
      <alignment horizontal="center" vertical="center" wrapText="1"/>
    </xf>
    <xf numFmtId="173" fontId="174" fillId="53" borderId="135" xfId="49" applyNumberFormat="1" applyFont="1" applyFill="1" applyBorder="1" applyAlignment="1">
      <alignment horizontal="center" vertical="center" wrapText="1"/>
    </xf>
    <xf numFmtId="173" fontId="13" fillId="53" borderId="34" xfId="49" applyNumberFormat="1" applyFont="1" applyFill="1" applyBorder="1" applyAlignment="1">
      <alignment vertical="center"/>
    </xf>
    <xf numFmtId="0" fontId="38" fillId="53" borderId="2" xfId="49" applyFont="1" applyFill="1" applyBorder="1" applyAlignment="1">
      <alignment horizontal="right" vertical="center"/>
    </xf>
    <xf numFmtId="173" fontId="215" fillId="42" borderId="2" xfId="26" applyNumberFormat="1" applyFont="1" applyBorder="1" applyAlignment="1" applyProtection="1">
      <alignment horizontal="right" vertical="center"/>
    </xf>
    <xf numFmtId="173" fontId="215" fillId="42" borderId="29" xfId="26" applyNumberFormat="1" applyFont="1" applyBorder="1" applyAlignment="1" applyProtection="1">
      <alignment horizontal="right" vertical="center"/>
    </xf>
    <xf numFmtId="173" fontId="215" fillId="42" borderId="36" xfId="26" applyNumberFormat="1" applyFont="1" applyBorder="1" applyAlignment="1" applyProtection="1">
      <alignment horizontal="right" vertical="center"/>
    </xf>
    <xf numFmtId="173" fontId="45" fillId="42" borderId="1" xfId="26" applyNumberFormat="1" applyFont="1" applyBorder="1" applyAlignment="1" applyProtection="1">
      <alignment horizontal="right" vertical="center"/>
    </xf>
    <xf numFmtId="173" fontId="45" fillId="42" borderId="32" xfId="26" applyNumberFormat="1" applyFont="1" applyBorder="1" applyAlignment="1" applyProtection="1">
      <alignment horizontal="right" vertical="center"/>
    </xf>
    <xf numFmtId="173" fontId="45" fillId="42" borderId="5" xfId="26" applyNumberFormat="1" applyFont="1" applyBorder="1" applyAlignment="1" applyProtection="1">
      <alignment horizontal="right" vertical="center"/>
    </xf>
    <xf numFmtId="173" fontId="45" fillId="42" borderId="23" xfId="26" applyNumberFormat="1" applyFont="1" applyBorder="1" applyAlignment="1" applyProtection="1">
      <alignment horizontal="right" vertical="center"/>
    </xf>
    <xf numFmtId="173" fontId="45" fillId="42" borderId="57" xfId="26" applyNumberFormat="1" applyFont="1" applyBorder="1" applyAlignment="1" applyProtection="1">
      <alignment horizontal="right" vertical="center"/>
    </xf>
    <xf numFmtId="173" fontId="45" fillId="42" borderId="24" xfId="26" applyNumberFormat="1" applyFont="1" applyBorder="1" applyAlignment="1" applyProtection="1">
      <alignment horizontal="right" vertical="center"/>
    </xf>
    <xf numFmtId="49" fontId="14" fillId="42" borderId="1" xfId="49" applyNumberFormat="1" applyFill="1" applyBorder="1" applyAlignment="1">
      <alignment horizontal="right" vertical="center"/>
    </xf>
    <xf numFmtId="173" fontId="13" fillId="53" borderId="4" xfId="49" applyNumberFormat="1" applyFont="1" applyFill="1" applyBorder="1" applyAlignment="1">
      <alignment vertical="center"/>
    </xf>
    <xf numFmtId="0" fontId="38" fillId="53" borderId="36" xfId="49" applyFont="1" applyFill="1" applyBorder="1" applyAlignment="1">
      <alignment horizontal="right" vertical="center"/>
    </xf>
    <xf numFmtId="0" fontId="38" fillId="53" borderId="49" xfId="49" applyFont="1" applyFill="1" applyBorder="1" applyAlignment="1">
      <alignment horizontal="right" vertical="center"/>
    </xf>
    <xf numFmtId="0" fontId="38" fillId="53" borderId="132" xfId="49" applyFont="1" applyFill="1" applyBorder="1" applyAlignment="1">
      <alignment horizontal="right" vertical="center"/>
    </xf>
    <xf numFmtId="0" fontId="38" fillId="53" borderId="1" xfId="49" applyFont="1" applyFill="1" applyBorder="1" applyAlignment="1">
      <alignment horizontal="right" vertical="center"/>
    </xf>
    <xf numFmtId="0" fontId="38" fillId="53" borderId="5" xfId="49" applyFont="1" applyFill="1" applyBorder="1" applyAlignment="1">
      <alignment horizontal="right" vertical="center"/>
    </xf>
    <xf numFmtId="173" fontId="13" fillId="53" borderId="34" xfId="49" quotePrefix="1" applyNumberFormat="1" applyFont="1" applyFill="1" applyBorder="1" applyAlignment="1">
      <alignment horizontal="left" vertical="center"/>
    </xf>
    <xf numFmtId="173" fontId="215" fillId="42" borderId="31" xfId="26" applyNumberFormat="1" applyFont="1" applyBorder="1" applyAlignment="1" applyProtection="1">
      <alignment horizontal="right" vertical="center"/>
    </xf>
    <xf numFmtId="173" fontId="215" fillId="42" borderId="30" xfId="26" applyNumberFormat="1" applyFont="1" applyBorder="1" applyAlignment="1" applyProtection="1">
      <alignment horizontal="right" vertical="center"/>
    </xf>
    <xf numFmtId="0" fontId="18" fillId="42" borderId="2" xfId="12" applyFill="1" applyBorder="1"/>
    <xf numFmtId="0" fontId="18" fillId="42" borderId="36" xfId="12" applyFill="1" applyBorder="1"/>
    <xf numFmtId="173" fontId="45" fillId="42" borderId="55" xfId="26" applyNumberFormat="1" applyFont="1" applyBorder="1" applyAlignment="1" applyProtection="1">
      <alignment horizontal="right" vertical="center"/>
    </xf>
    <xf numFmtId="173" fontId="45" fillId="42" borderId="65" xfId="26" applyNumberFormat="1" applyFont="1" applyBorder="1" applyAlignment="1" applyProtection="1">
      <alignment horizontal="right" vertical="center"/>
    </xf>
    <xf numFmtId="49" fontId="14" fillId="42" borderId="55" xfId="26" applyNumberFormat="1" applyFont="1" applyBorder="1" applyAlignment="1" applyProtection="1">
      <alignment horizontal="right" vertical="center"/>
    </xf>
    <xf numFmtId="49" fontId="14" fillId="42" borderId="55" xfId="49" applyNumberFormat="1" applyFill="1" applyBorder="1" applyAlignment="1">
      <alignment horizontal="right" vertical="center"/>
    </xf>
    <xf numFmtId="173" fontId="215" fillId="42" borderId="1" xfId="26" applyNumberFormat="1" applyFont="1" applyBorder="1" applyAlignment="1" applyProtection="1">
      <alignment horizontal="right" vertical="center"/>
    </xf>
    <xf numFmtId="173" fontId="215" fillId="42" borderId="55" xfId="26" applyNumberFormat="1" applyFont="1" applyBorder="1" applyAlignment="1" applyProtection="1">
      <alignment horizontal="right" vertical="center"/>
    </xf>
    <xf numFmtId="173" fontId="215" fillId="42" borderId="65" xfId="26" applyNumberFormat="1" applyFont="1" applyBorder="1" applyAlignment="1" applyProtection="1">
      <alignment horizontal="right" vertical="center"/>
    </xf>
    <xf numFmtId="173" fontId="45" fillId="42" borderId="2" xfId="26" applyNumberFormat="1" applyFont="1" applyBorder="1" applyAlignment="1" applyProtection="1">
      <alignment horizontal="right" vertical="center"/>
    </xf>
    <xf numFmtId="173" fontId="45" fillId="42" borderId="31" xfId="26" applyNumberFormat="1" applyFont="1" applyBorder="1" applyAlignment="1" applyProtection="1">
      <alignment horizontal="right" vertical="center"/>
    </xf>
    <xf numFmtId="173" fontId="45" fillId="42" borderId="30" xfId="26" applyNumberFormat="1" applyFont="1" applyBorder="1" applyAlignment="1" applyProtection="1">
      <alignment horizontal="right" vertical="center"/>
    </xf>
    <xf numFmtId="173" fontId="45" fillId="42" borderId="52" xfId="26" applyNumberFormat="1" applyFont="1" applyBorder="1" applyAlignment="1" applyProtection="1">
      <alignment horizontal="right" vertical="center"/>
    </xf>
    <xf numFmtId="173" fontId="45" fillId="42" borderId="40" xfId="26" applyNumberFormat="1" applyFont="1" applyBorder="1" applyAlignment="1" applyProtection="1">
      <alignment horizontal="right" vertical="center"/>
    </xf>
    <xf numFmtId="173" fontId="13" fillId="53" borderId="26" xfId="49" applyNumberFormat="1" applyFont="1" applyFill="1" applyBorder="1" applyAlignment="1">
      <alignment vertical="center"/>
    </xf>
    <xf numFmtId="0" fontId="38" fillId="53" borderId="17" xfId="49" applyFont="1" applyFill="1" applyBorder="1" applyAlignment="1">
      <alignment horizontal="right" vertical="center"/>
    </xf>
    <xf numFmtId="0" fontId="38" fillId="53" borderId="22" xfId="49" applyFont="1" applyFill="1" applyBorder="1" applyAlignment="1">
      <alignment horizontal="right" vertical="center"/>
    </xf>
    <xf numFmtId="173" fontId="221" fillId="0" borderId="0" xfId="12" applyNumberFormat="1" applyFont="1" applyAlignment="1">
      <alignment horizontal="left" vertical="center"/>
    </xf>
    <xf numFmtId="173" fontId="221" fillId="0" borderId="0" xfId="12" applyNumberFormat="1" applyFont="1" applyAlignment="1" applyProtection="1">
      <alignment vertical="center"/>
      <protection locked="0"/>
    </xf>
    <xf numFmtId="173" fontId="222" fillId="0" borderId="0" xfId="29" applyNumberFormat="1" applyFont="1" applyFill="1" applyAlignment="1">
      <alignment horizontal="left" vertical="center"/>
    </xf>
    <xf numFmtId="173" fontId="222" fillId="0" borderId="0" xfId="12" applyNumberFormat="1" applyFont="1" applyAlignment="1" applyProtection="1">
      <alignment vertical="center"/>
      <protection locked="0"/>
    </xf>
    <xf numFmtId="0" fontId="222" fillId="0" borderId="0" xfId="12" applyFont="1" applyAlignment="1">
      <alignment horizontal="left" vertical="center"/>
    </xf>
    <xf numFmtId="173" fontId="222" fillId="0" borderId="0" xfId="28" applyNumberFormat="1" applyFont="1" applyFill="1" applyAlignment="1" applyProtection="1">
      <alignment vertical="center"/>
      <protection locked="0"/>
    </xf>
    <xf numFmtId="173" fontId="221" fillId="0" borderId="0" xfId="12" applyNumberFormat="1" applyFont="1" applyAlignment="1" applyProtection="1">
      <alignment horizontal="left" vertical="center"/>
      <protection locked="0"/>
    </xf>
    <xf numFmtId="173" fontId="222" fillId="0" borderId="0" xfId="29" applyNumberFormat="1" applyFont="1" applyFill="1" applyAlignment="1" applyProtection="1">
      <alignment horizontal="left" vertical="center"/>
      <protection locked="0"/>
    </xf>
    <xf numFmtId="173" fontId="222" fillId="0" borderId="0" xfId="28" applyNumberFormat="1" applyFont="1" applyFill="1" applyAlignment="1" applyProtection="1">
      <alignment horizontal="left" vertical="center"/>
      <protection locked="0"/>
    </xf>
    <xf numFmtId="173" fontId="223" fillId="0" borderId="0" xfId="12" applyNumberFormat="1" applyFont="1" applyAlignment="1" applyProtection="1">
      <alignment vertical="center"/>
      <protection locked="0"/>
    </xf>
    <xf numFmtId="173" fontId="13" fillId="53" borderId="46" xfId="49" applyNumberFormat="1" applyFont="1" applyFill="1" applyBorder="1" applyAlignment="1">
      <alignment vertical="center"/>
    </xf>
    <xf numFmtId="173" fontId="13" fillId="53" borderId="38" xfId="49" applyNumberFormat="1" applyFont="1" applyFill="1" applyBorder="1" applyAlignment="1">
      <alignment vertical="center"/>
    </xf>
    <xf numFmtId="173" fontId="13" fillId="53" borderId="39" xfId="49" applyNumberFormat="1" applyFont="1" applyFill="1" applyBorder="1" applyAlignment="1">
      <alignment vertical="center"/>
    </xf>
    <xf numFmtId="0" fontId="178" fillId="41" borderId="55" xfId="25" applyFont="1" applyFill="1" applyBorder="1" applyAlignment="1" applyProtection="1">
      <alignment horizontal="center" vertical="center"/>
    </xf>
    <xf numFmtId="0" fontId="178" fillId="46" borderId="128" xfId="43" applyFont="1" applyFill="1" applyBorder="1" applyAlignment="1">
      <alignment horizontal="center" vertical="center" wrapText="1" shrinkToFit="1"/>
    </xf>
    <xf numFmtId="0" fontId="224" fillId="3" borderId="128" xfId="43" applyFont="1" applyFill="1" applyBorder="1" applyAlignment="1">
      <alignment horizontal="center" vertical="center" wrapText="1" shrinkToFit="1"/>
    </xf>
    <xf numFmtId="0" fontId="178" fillId="3" borderId="128" xfId="44" applyFont="1" applyFill="1" applyBorder="1" applyAlignment="1">
      <alignment horizontal="center" vertical="center"/>
    </xf>
    <xf numFmtId="0" fontId="225" fillId="0" borderId="0" xfId="0" applyFont="1"/>
    <xf numFmtId="0" fontId="68" fillId="0" borderId="0" xfId="7" applyFill="1"/>
    <xf numFmtId="4" fontId="20" fillId="0" borderId="7" xfId="11" applyNumberFormat="1" applyFont="1" applyBorder="1" applyAlignment="1">
      <alignment horizontal="right" wrapText="1"/>
    </xf>
    <xf numFmtId="4" fontId="19" fillId="11" borderId="160" xfId="9" applyNumberFormat="1" applyFont="1" applyFill="1" applyBorder="1" applyAlignment="1" applyProtection="1">
      <alignment horizontal="right" wrapText="1"/>
    </xf>
    <xf numFmtId="4" fontId="19" fillId="0" borderId="32" xfId="15" applyNumberFormat="1" applyFont="1" applyBorder="1" applyAlignment="1">
      <alignment horizontal="right"/>
    </xf>
    <xf numFmtId="4" fontId="18" fillId="0" borderId="32" xfId="15" applyNumberFormat="1" applyBorder="1" applyAlignment="1">
      <alignment horizontal="right"/>
    </xf>
    <xf numFmtId="4" fontId="18" fillId="0" borderId="71" xfId="15" applyNumberFormat="1" applyBorder="1" applyAlignment="1">
      <alignment horizontal="right"/>
    </xf>
    <xf numFmtId="0" fontId="25" fillId="0" borderId="21" xfId="13" applyFont="1" applyBorder="1" applyAlignment="1">
      <alignment horizontal="center" vertical="center" wrapText="1"/>
    </xf>
    <xf numFmtId="0" fontId="25" fillId="0" borderId="23" xfId="13" applyFont="1" applyBorder="1" applyAlignment="1">
      <alignment horizontal="center" vertical="center" wrapText="1"/>
    </xf>
    <xf numFmtId="0" fontId="25" fillId="0" borderId="49" xfId="13" applyFont="1" applyBorder="1" applyAlignment="1">
      <alignment horizontal="center" vertical="center" wrapText="1"/>
    </xf>
    <xf numFmtId="0" fontId="25" fillId="0" borderId="2" xfId="13" applyFont="1" applyBorder="1" applyAlignment="1">
      <alignment horizontal="center" vertical="center" wrapText="1"/>
    </xf>
    <xf numFmtId="10" fontId="18" fillId="0" borderId="1" xfId="13" applyNumberFormat="1" applyBorder="1" applyAlignment="1">
      <alignment horizontal="center"/>
    </xf>
    <xf numFmtId="9" fontId="18" fillId="0" borderId="1" xfId="13" applyNumberFormat="1" applyBorder="1" applyAlignment="1">
      <alignment horizontal="center"/>
    </xf>
    <xf numFmtId="2" fontId="18" fillId="0" borderId="1" xfId="13" applyNumberFormat="1" applyBorder="1" applyAlignment="1">
      <alignment horizontal="center"/>
    </xf>
    <xf numFmtId="0" fontId="144" fillId="0" borderId="0" xfId="13" applyFont="1"/>
    <xf numFmtId="0" fontId="19" fillId="0" borderId="0" xfId="13" applyFont="1"/>
    <xf numFmtId="176" fontId="10" fillId="7" borderId="0" xfId="0" applyNumberFormat="1" applyFont="1" applyFill="1" applyAlignment="1">
      <alignment horizontal="left" vertical="center"/>
    </xf>
    <xf numFmtId="176" fontId="9" fillId="14" borderId="0" xfId="17" applyNumberFormat="1" applyFont="1" applyFill="1" applyBorder="1" applyAlignment="1" applyProtection="1">
      <alignment vertical="center"/>
      <protection locked="0"/>
    </xf>
    <xf numFmtId="176" fontId="10" fillId="7" borderId="0" xfId="0" applyNumberFormat="1" applyFont="1" applyFill="1" applyAlignment="1">
      <alignment vertical="center"/>
    </xf>
    <xf numFmtId="176" fontId="10" fillId="7" borderId="0" xfId="0" applyNumberFormat="1" applyFont="1" applyFill="1" applyAlignment="1" applyProtection="1">
      <alignment vertical="center"/>
      <protection locked="0"/>
    </xf>
    <xf numFmtId="176" fontId="9" fillId="14" borderId="0" xfId="9" applyNumberFormat="1" applyFont="1" applyFill="1" applyBorder="1" applyAlignment="1" applyProtection="1">
      <alignment vertical="center"/>
      <protection locked="0"/>
    </xf>
    <xf numFmtId="185" fontId="25" fillId="0" borderId="7" xfId="0" applyNumberFormat="1" applyFont="1" applyBorder="1" applyAlignment="1">
      <alignment horizontal="center" wrapText="1"/>
    </xf>
    <xf numFmtId="4" fontId="20" fillId="0" borderId="7" xfId="0" applyNumberFormat="1" applyFont="1" applyBorder="1" applyAlignment="1">
      <alignment horizontal="center" wrapText="1"/>
    </xf>
    <xf numFmtId="1" fontId="14" fillId="0" borderId="74" xfId="26" applyNumberFormat="1" applyFont="1" applyFill="1" applyBorder="1" applyAlignment="1" applyProtection="1">
      <alignment horizontal="right" vertical="center"/>
    </xf>
    <xf numFmtId="2" fontId="14" fillId="0" borderId="74" xfId="26" applyNumberFormat="1" applyFont="1" applyFill="1" applyBorder="1" applyAlignment="1" applyProtection="1">
      <alignment horizontal="right" vertical="center"/>
    </xf>
    <xf numFmtId="173" fontId="13" fillId="46" borderId="74" xfId="24" applyNumberFormat="1" applyFont="1" applyFill="1" applyBorder="1" applyAlignment="1">
      <alignment horizontal="center" vertical="center"/>
    </xf>
    <xf numFmtId="1" fontId="14" fillId="0" borderId="28" xfId="26" applyNumberFormat="1" applyFont="1" applyFill="1" applyBorder="1" applyAlignment="1" applyProtection="1">
      <alignment horizontal="right" vertical="center"/>
    </xf>
    <xf numFmtId="2" fontId="14" fillId="0" borderId="28" xfId="26" applyNumberFormat="1" applyFont="1" applyFill="1" applyBorder="1" applyAlignment="1" applyProtection="1">
      <alignment horizontal="right" vertical="center"/>
    </xf>
    <xf numFmtId="173" fontId="14" fillId="0" borderId="74" xfId="24" applyNumberFormat="1" applyBorder="1" applyAlignment="1">
      <alignment horizontal="center" vertical="center"/>
    </xf>
    <xf numFmtId="2" fontId="14" fillId="0" borderId="23" xfId="24" applyNumberFormat="1" applyBorder="1" applyAlignment="1">
      <alignment horizontal="right" vertical="center"/>
    </xf>
    <xf numFmtId="0" fontId="107" fillId="24" borderId="1" xfId="0" applyFont="1" applyFill="1" applyBorder="1" applyAlignment="1">
      <alignment horizontal="center" vertical="center"/>
    </xf>
    <xf numFmtId="0" fontId="97" fillId="7" borderId="57" xfId="0" applyFont="1" applyFill="1" applyBorder="1" applyAlignment="1">
      <alignment horizontal="center" vertical="center"/>
    </xf>
    <xf numFmtId="0" fontId="97" fillId="7" borderId="40" xfId="0" applyFont="1" applyFill="1" applyBorder="1" applyAlignment="1">
      <alignment horizontal="center" vertical="center"/>
    </xf>
    <xf numFmtId="0" fontId="97" fillId="7" borderId="52" xfId="0" applyFont="1" applyFill="1" applyBorder="1" applyAlignment="1">
      <alignment horizontal="center" vertical="center"/>
    </xf>
    <xf numFmtId="0" fontId="97" fillId="7" borderId="29" xfId="0" applyFont="1" applyFill="1" applyBorder="1" applyAlignment="1">
      <alignment horizontal="center" vertical="center"/>
    </xf>
    <xf numFmtId="0" fontId="97" fillId="7" borderId="30" xfId="0" applyFont="1" applyFill="1" applyBorder="1" applyAlignment="1">
      <alignment horizontal="center" vertical="center"/>
    </xf>
    <xf numFmtId="0" fontId="97" fillId="7" borderId="31" xfId="0" applyFont="1" applyFill="1" applyBorder="1" applyAlignment="1">
      <alignment horizontal="center" vertical="center"/>
    </xf>
    <xf numFmtId="0" fontId="41" fillId="36" borderId="1" xfId="0" applyFont="1" applyFill="1" applyBorder="1" applyAlignment="1">
      <alignment horizontal="center" vertical="center"/>
    </xf>
    <xf numFmtId="178" fontId="43" fillId="7" borderId="1" xfId="0" applyNumberFormat="1" applyFont="1" applyFill="1" applyBorder="1" applyAlignment="1">
      <alignment horizontal="center"/>
    </xf>
    <xf numFmtId="0" fontId="43" fillId="7" borderId="1" xfId="0" applyFont="1" applyFill="1" applyBorder="1" applyAlignment="1">
      <alignment horizontal="center"/>
    </xf>
    <xf numFmtId="0" fontId="68" fillId="7" borderId="1" xfId="7" applyFill="1" applyBorder="1" applyAlignment="1" applyProtection="1">
      <alignment horizontal="center"/>
    </xf>
    <xf numFmtId="0" fontId="151" fillId="7" borderId="1" xfId="7" applyFont="1" applyFill="1" applyBorder="1" applyAlignment="1" applyProtection="1">
      <alignment horizontal="center"/>
    </xf>
    <xf numFmtId="0" fontId="64" fillId="6" borderId="29" xfId="3" applyBorder="1" applyAlignment="1" applyProtection="1">
      <alignment horizontal="center" vertical="center"/>
    </xf>
    <xf numFmtId="0" fontId="64" fillId="6" borderId="30" xfId="3" applyBorder="1" applyAlignment="1" applyProtection="1">
      <alignment horizontal="center" vertical="center"/>
    </xf>
    <xf numFmtId="0" fontId="64" fillId="6" borderId="31" xfId="3" applyBorder="1" applyAlignment="1" applyProtection="1">
      <alignment horizontal="center" vertical="center"/>
    </xf>
    <xf numFmtId="0" fontId="64" fillId="6" borderId="1" xfId="3" applyBorder="1" applyAlignment="1" applyProtection="1">
      <alignment horizontal="center" vertical="center"/>
    </xf>
    <xf numFmtId="0" fontId="64" fillId="6" borderId="32" xfId="3" applyBorder="1" applyAlignment="1" applyProtection="1">
      <alignment horizontal="center" vertical="center"/>
    </xf>
    <xf numFmtId="0" fontId="64" fillId="6" borderId="65" xfId="3" applyBorder="1" applyAlignment="1" applyProtection="1">
      <alignment horizontal="center" vertical="center"/>
    </xf>
    <xf numFmtId="0" fontId="64" fillId="6" borderId="55" xfId="3" applyBorder="1" applyAlignment="1" applyProtection="1">
      <alignment horizontal="center" vertical="center"/>
    </xf>
    <xf numFmtId="0" fontId="64" fillId="6" borderId="115" xfId="3" applyBorder="1" applyAlignment="1" applyProtection="1">
      <alignment horizontal="center" vertical="center"/>
    </xf>
    <xf numFmtId="0" fontId="64" fillId="6" borderId="116" xfId="3" applyBorder="1" applyAlignment="1" applyProtection="1">
      <alignment horizontal="center" vertical="center"/>
    </xf>
    <xf numFmtId="0" fontId="153" fillId="0" borderId="16" xfId="0" applyFont="1" applyBorder="1" applyAlignment="1">
      <alignment horizontal="center" vertical="center" textRotation="90"/>
    </xf>
    <xf numFmtId="0" fontId="153" fillId="0" borderId="13" xfId="0" applyFont="1" applyBorder="1" applyAlignment="1">
      <alignment horizontal="center" vertical="center" textRotation="90"/>
    </xf>
    <xf numFmtId="0" fontId="153" fillId="0" borderId="6" xfId="0" applyFont="1" applyBorder="1" applyAlignment="1">
      <alignment horizontal="center" vertical="center" textRotation="90"/>
    </xf>
    <xf numFmtId="0" fontId="65" fillId="5" borderId="114" xfId="1" applyBorder="1" applyAlignment="1" applyProtection="1">
      <alignment horizontal="center" vertical="center"/>
    </xf>
    <xf numFmtId="0" fontId="65" fillId="5" borderId="113" xfId="1" applyBorder="1" applyAlignment="1" applyProtection="1">
      <alignment horizontal="center" vertical="center"/>
    </xf>
    <xf numFmtId="0" fontId="64" fillId="6" borderId="27" xfId="3" applyBorder="1" applyAlignment="1" applyProtection="1">
      <alignment horizontal="center" vertical="center"/>
    </xf>
    <xf numFmtId="0" fontId="64" fillId="6" borderId="28" xfId="3" applyBorder="1" applyAlignment="1" applyProtection="1">
      <alignment horizontal="center" vertical="center"/>
    </xf>
    <xf numFmtId="0" fontId="64" fillId="6" borderId="117" xfId="3" applyBorder="1" applyAlignment="1" applyProtection="1">
      <alignment horizontal="center" vertical="center"/>
    </xf>
    <xf numFmtId="0" fontId="64" fillId="6" borderId="118" xfId="3" applyBorder="1" applyAlignment="1" applyProtection="1">
      <alignment horizontal="center" vertical="center"/>
    </xf>
    <xf numFmtId="0" fontId="42" fillId="7" borderId="23" xfId="0" applyFont="1" applyFill="1" applyBorder="1" applyAlignment="1">
      <alignment horizontal="center" vertical="center"/>
    </xf>
    <xf numFmtId="0" fontId="152" fillId="37" borderId="0" xfId="0" applyFont="1" applyFill="1" applyAlignment="1">
      <alignment horizontal="center" vertical="center"/>
    </xf>
    <xf numFmtId="0" fontId="152" fillId="0" borderId="0" xfId="0" applyFont="1" applyAlignment="1">
      <alignment horizontal="center" vertical="center"/>
    </xf>
    <xf numFmtId="0" fontId="211" fillId="7" borderId="57" xfId="0" applyFont="1" applyFill="1" applyBorder="1" applyAlignment="1" applyProtection="1">
      <alignment horizontal="center" vertical="center" wrapText="1"/>
      <protection locked="0"/>
    </xf>
    <xf numFmtId="0" fontId="211" fillId="7" borderId="40" xfId="0" applyFont="1" applyFill="1" applyBorder="1" applyAlignment="1" applyProtection="1">
      <alignment horizontal="center" vertical="center" wrapText="1"/>
      <protection locked="0"/>
    </xf>
    <xf numFmtId="0" fontId="211" fillId="7" borderId="52" xfId="0" applyFont="1" applyFill="1" applyBorder="1" applyAlignment="1" applyProtection="1">
      <alignment horizontal="center" vertical="center" wrapText="1"/>
      <protection locked="0"/>
    </xf>
    <xf numFmtId="0" fontId="211" fillId="7" borderId="27" xfId="0" applyFont="1" applyFill="1" applyBorder="1" applyAlignment="1" applyProtection="1">
      <alignment horizontal="center" vertical="center" wrapText="1"/>
      <protection locked="0"/>
    </xf>
    <xf numFmtId="0" fontId="211" fillId="7" borderId="0" xfId="0" applyFont="1" applyFill="1" applyAlignment="1" applyProtection="1">
      <alignment horizontal="center" vertical="center" wrapText="1"/>
      <protection locked="0"/>
    </xf>
    <xf numFmtId="0" fontId="211" fillId="7" borderId="28" xfId="0" applyFont="1" applyFill="1" applyBorder="1" applyAlignment="1" applyProtection="1">
      <alignment horizontal="center" vertical="center" wrapText="1"/>
      <protection locked="0"/>
    </xf>
    <xf numFmtId="0" fontId="211" fillId="7" borderId="29" xfId="0" applyFont="1" applyFill="1" applyBorder="1" applyAlignment="1" applyProtection="1">
      <alignment horizontal="center" vertical="center" wrapText="1"/>
      <protection locked="0"/>
    </xf>
    <xf numFmtId="0" fontId="211" fillId="7" borderId="30" xfId="0" applyFont="1" applyFill="1" applyBorder="1" applyAlignment="1" applyProtection="1">
      <alignment horizontal="center" vertical="center" wrapText="1"/>
      <protection locked="0"/>
    </xf>
    <xf numFmtId="0" fontId="211" fillId="7" borderId="31" xfId="0" applyFont="1" applyFill="1" applyBorder="1" applyAlignment="1" applyProtection="1">
      <alignment horizontal="center" vertical="center" wrapText="1"/>
      <protection locked="0"/>
    </xf>
    <xf numFmtId="0" fontId="152" fillId="38" borderId="0" xfId="0" applyFont="1" applyFill="1" applyAlignment="1">
      <alignment horizontal="center" vertical="center"/>
    </xf>
    <xf numFmtId="0" fontId="95" fillId="27" borderId="42" xfId="3" applyFont="1" applyFill="1" applyBorder="1" applyAlignment="1" applyProtection="1">
      <alignment horizontal="center" vertical="center"/>
    </xf>
    <xf numFmtId="0" fontId="95" fillId="27" borderId="37" xfId="3" applyFont="1" applyFill="1" applyBorder="1" applyAlignment="1" applyProtection="1">
      <alignment horizontal="center" vertical="center"/>
    </xf>
    <xf numFmtId="0" fontId="64" fillId="6" borderId="61" xfId="3" applyBorder="1" applyAlignment="1" applyProtection="1">
      <alignment horizontal="center" vertical="center"/>
    </xf>
    <xf numFmtId="0" fontId="64" fillId="6" borderId="72" xfId="3" applyBorder="1" applyAlignment="1" applyProtection="1">
      <alignment horizontal="center" vertical="center"/>
    </xf>
    <xf numFmtId="0" fontId="64" fillId="6" borderId="74" xfId="3" applyBorder="1" applyAlignment="1" applyProtection="1">
      <alignment horizontal="center" vertical="center"/>
    </xf>
    <xf numFmtId="0" fontId="65" fillId="6" borderId="1" xfId="3" applyFont="1" applyBorder="1" applyAlignment="1" applyProtection="1">
      <alignment horizontal="center" vertical="center"/>
    </xf>
    <xf numFmtId="0" fontId="95" fillId="27" borderId="1" xfId="3" applyFont="1" applyFill="1" applyBorder="1" applyAlignment="1" applyProtection="1">
      <alignment horizontal="center" vertical="center"/>
    </xf>
    <xf numFmtId="0" fontId="154" fillId="27" borderId="1" xfId="3" applyFont="1" applyFill="1" applyBorder="1" applyAlignment="1" applyProtection="1">
      <alignment horizontal="center" vertical="center"/>
    </xf>
    <xf numFmtId="0" fontId="152" fillId="39" borderId="0" xfId="0" applyFont="1" applyFill="1" applyAlignment="1">
      <alignment horizontal="center" vertical="center"/>
    </xf>
    <xf numFmtId="0" fontId="64" fillId="6" borderId="32" xfId="3" applyBorder="1" applyAlignment="1" applyProtection="1">
      <alignment horizontal="center" vertical="center" wrapText="1"/>
    </xf>
    <xf numFmtId="0" fontId="64" fillId="6" borderId="18" xfId="3" applyBorder="1" applyAlignment="1" applyProtection="1">
      <alignment horizontal="center" vertical="center"/>
    </xf>
    <xf numFmtId="0" fontId="64" fillId="6" borderId="19" xfId="3" applyBorder="1" applyAlignment="1" applyProtection="1">
      <alignment horizontal="center" vertical="center"/>
    </xf>
    <xf numFmtId="0" fontId="64" fillId="6" borderId="20" xfId="3" applyBorder="1" applyAlignment="1" applyProtection="1">
      <alignment horizontal="center" vertical="center"/>
    </xf>
    <xf numFmtId="0" fontId="64" fillId="6" borderId="1" xfId="3" applyBorder="1" applyAlignment="1" applyProtection="1">
      <alignment horizontal="center" vertical="center" wrapText="1"/>
    </xf>
    <xf numFmtId="0" fontId="64" fillId="6" borderId="63" xfId="3" applyBorder="1" applyAlignment="1" applyProtection="1">
      <alignment horizontal="center" vertical="center"/>
    </xf>
    <xf numFmtId="0" fontId="64" fillId="6" borderId="73" xfId="3" applyBorder="1" applyAlignment="1" applyProtection="1">
      <alignment horizontal="center" vertical="center"/>
    </xf>
    <xf numFmtId="0" fontId="95" fillId="27" borderId="32" xfId="3" applyFont="1" applyFill="1" applyBorder="1" applyAlignment="1" applyProtection="1">
      <alignment horizontal="center" vertical="center"/>
      <protection locked="0"/>
    </xf>
    <xf numFmtId="0" fontId="95" fillId="27" borderId="65" xfId="3" applyFont="1" applyFill="1" applyBorder="1" applyAlignment="1" applyProtection="1">
      <alignment horizontal="center" vertical="center"/>
      <protection locked="0"/>
    </xf>
    <xf numFmtId="0" fontId="95" fillId="27" borderId="55" xfId="3" applyFont="1" applyFill="1" applyBorder="1" applyAlignment="1" applyProtection="1">
      <alignment horizontal="center" vertical="center"/>
      <protection locked="0"/>
    </xf>
    <xf numFmtId="0" fontId="65" fillId="6" borderId="23" xfId="3" applyFont="1" applyBorder="1" applyAlignment="1" applyProtection="1">
      <alignment horizontal="center" vertical="center"/>
    </xf>
    <xf numFmtId="0" fontId="65" fillId="6" borderId="49" xfId="3" applyFont="1" applyBorder="1" applyAlignment="1" applyProtection="1">
      <alignment horizontal="center" vertical="center"/>
    </xf>
    <xf numFmtId="0" fontId="65" fillId="6" borderId="2" xfId="3" applyFont="1" applyBorder="1" applyAlignment="1" applyProtection="1">
      <alignment horizontal="center" vertical="center"/>
    </xf>
    <xf numFmtId="0" fontId="95" fillId="27" borderId="32" xfId="3" applyFont="1" applyFill="1" applyBorder="1" applyAlignment="1" applyProtection="1">
      <alignment horizontal="center" vertical="center"/>
    </xf>
    <xf numFmtId="0" fontId="95" fillId="27" borderId="65" xfId="3" applyFont="1" applyFill="1" applyBorder="1" applyAlignment="1" applyProtection="1">
      <alignment horizontal="center" vertical="center"/>
    </xf>
    <xf numFmtId="0" fontId="95" fillId="27" borderId="55" xfId="3" applyFont="1" applyFill="1" applyBorder="1" applyAlignment="1" applyProtection="1">
      <alignment horizontal="center" vertical="center"/>
    </xf>
    <xf numFmtId="0" fontId="64" fillId="6" borderId="1" xfId="3" applyBorder="1" applyAlignment="1">
      <alignment horizontal="center"/>
    </xf>
    <xf numFmtId="0" fontId="64" fillId="6" borderId="2" xfId="3" applyBorder="1" applyAlignment="1" applyProtection="1">
      <alignment horizontal="center" vertical="center"/>
    </xf>
    <xf numFmtId="0" fontId="154" fillId="27" borderId="23" xfId="3" applyFont="1" applyFill="1" applyBorder="1" applyAlignment="1" applyProtection="1">
      <alignment horizontal="center" vertical="center"/>
    </xf>
    <xf numFmtId="0" fontId="29" fillId="0" borderId="50" xfId="0" applyFont="1" applyBorder="1" applyAlignment="1">
      <alignment wrapText="1"/>
    </xf>
    <xf numFmtId="0" fontId="29" fillId="0" borderId="51" xfId="0" applyFont="1" applyBorder="1" applyAlignment="1">
      <alignment wrapText="1"/>
    </xf>
    <xf numFmtId="0" fontId="25" fillId="0" borderId="50" xfId="0" applyFont="1" applyBorder="1" applyAlignment="1">
      <alignment horizontal="right"/>
    </xf>
    <xf numFmtId="0" fontId="25" fillId="0" borderId="14" xfId="0" applyFont="1" applyBorder="1" applyAlignment="1">
      <alignment horizontal="right"/>
    </xf>
    <xf numFmtId="0" fontId="19" fillId="4" borderId="50" xfId="0" applyFont="1" applyFill="1" applyBorder="1" applyAlignment="1">
      <alignment horizontal="center"/>
    </xf>
    <xf numFmtId="0" fontId="19" fillId="4" borderId="14" xfId="0" applyFont="1" applyFill="1" applyBorder="1" applyAlignment="1">
      <alignment horizontal="center"/>
    </xf>
    <xf numFmtId="0" fontId="23" fillId="0" borderId="50" xfId="0" applyFont="1" applyBorder="1" applyAlignment="1">
      <alignment horizontal="left" wrapText="1"/>
    </xf>
    <xf numFmtId="0" fontId="23" fillId="0" borderId="51" xfId="0" applyFont="1" applyBorder="1" applyAlignment="1">
      <alignment horizontal="left" wrapText="1"/>
    </xf>
    <xf numFmtId="0" fontId="23" fillId="0" borderId="14" xfId="0" applyFont="1" applyBorder="1" applyAlignment="1">
      <alignment horizontal="left" wrapText="1"/>
    </xf>
    <xf numFmtId="0" fontId="23" fillId="4" borderId="50" xfId="0" applyFont="1" applyFill="1" applyBorder="1" applyAlignment="1">
      <alignment horizontal="center" wrapText="1"/>
    </xf>
    <xf numFmtId="0" fontId="23" fillId="4" borderId="14" xfId="0" applyFont="1" applyFill="1" applyBorder="1" applyAlignment="1">
      <alignment horizontal="center" wrapText="1"/>
    </xf>
    <xf numFmtId="0" fontId="25" fillId="0" borderId="46" xfId="0" applyFont="1" applyBorder="1" applyAlignment="1">
      <alignment horizontal="center" vertical="center" wrapText="1"/>
    </xf>
    <xf numFmtId="0" fontId="25" fillId="0" borderId="39" xfId="0" applyFont="1" applyBorder="1" applyAlignment="1">
      <alignment horizontal="center" vertical="center" wrapText="1"/>
    </xf>
    <xf numFmtId="0" fontId="25" fillId="0" borderId="21"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42" xfId="0" applyFont="1" applyBorder="1" applyAlignment="1">
      <alignment horizontal="center" vertical="center" wrapText="1"/>
    </xf>
    <xf numFmtId="0" fontId="25" fillId="0" borderId="7" xfId="0" applyFont="1" applyBorder="1" applyAlignment="1">
      <alignment horizontal="center" vertical="center" wrapText="1"/>
    </xf>
    <xf numFmtId="0" fontId="78" fillId="0" borderId="0" xfId="0" applyFont="1" applyAlignment="1">
      <alignment horizontal="center"/>
    </xf>
    <xf numFmtId="0" fontId="23" fillId="0" borderId="75" xfId="0" applyFont="1" applyBorder="1" applyAlignment="1">
      <alignment horizontal="center" wrapText="1"/>
    </xf>
    <xf numFmtId="0" fontId="23" fillId="0" borderId="76" xfId="0" applyFont="1" applyBorder="1" applyAlignment="1">
      <alignment horizontal="center" wrapText="1"/>
    </xf>
    <xf numFmtId="0" fontId="23" fillId="0" borderId="50" xfId="0" applyFont="1" applyBorder="1"/>
    <xf numFmtId="0" fontId="23" fillId="0" borderId="51" xfId="0" applyFont="1" applyBorder="1"/>
    <xf numFmtId="0" fontId="23" fillId="0" borderId="14" xfId="0" applyFont="1" applyBorder="1"/>
    <xf numFmtId="0" fontId="23" fillId="4" borderId="51" xfId="0" applyFont="1" applyFill="1" applyBorder="1" applyAlignment="1">
      <alignment horizontal="center" wrapText="1"/>
    </xf>
    <xf numFmtId="0" fontId="25" fillId="0" borderId="50"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50" xfId="0" applyFont="1" applyBorder="1" applyAlignment="1">
      <alignment horizontal="center" wrapText="1"/>
    </xf>
    <xf numFmtId="0" fontId="25" fillId="0" borderId="51" xfId="0" applyFont="1" applyBorder="1" applyAlignment="1">
      <alignment horizontal="center" wrapText="1"/>
    </xf>
    <xf numFmtId="0" fontId="25" fillId="0" borderId="14" xfId="0" applyFont="1" applyBorder="1" applyAlignment="1">
      <alignment horizontal="center" wrapText="1"/>
    </xf>
    <xf numFmtId="0" fontId="13" fillId="0" borderId="1" xfId="0" applyFont="1" applyBorder="1" applyAlignment="1">
      <alignment horizontal="left"/>
    </xf>
    <xf numFmtId="0" fontId="13" fillId="0" borderId="1" xfId="0" applyFont="1" applyBorder="1" applyAlignment="1">
      <alignment horizontal="left" vertical="center"/>
    </xf>
    <xf numFmtId="0" fontId="87" fillId="8" borderId="1" xfId="0" applyFont="1" applyFill="1" applyBorder="1" applyAlignment="1">
      <alignment horizontal="center" vertical="center" wrapText="1"/>
    </xf>
    <xf numFmtId="0" fontId="155" fillId="40" borderId="30" xfId="0" applyFont="1" applyFill="1" applyBorder="1" applyAlignment="1">
      <alignment horizontal="center"/>
    </xf>
    <xf numFmtId="0" fontId="183" fillId="0" borderId="50" xfId="0" applyFont="1" applyBorder="1" applyAlignment="1">
      <alignment horizontal="center" vertical="center" wrapText="1"/>
    </xf>
    <xf numFmtId="0" fontId="183" fillId="0" borderId="51" xfId="0" applyFont="1" applyBorder="1" applyAlignment="1">
      <alignment horizontal="center" vertical="center" wrapText="1"/>
    </xf>
    <xf numFmtId="0" fontId="183" fillId="0" borderId="14" xfId="0" applyFont="1" applyBorder="1" applyAlignment="1">
      <alignment horizontal="center" vertical="center" wrapText="1"/>
    </xf>
    <xf numFmtId="0" fontId="183" fillId="0" borderId="46" xfId="0" applyFont="1" applyBorder="1" applyAlignment="1">
      <alignment horizontal="center" wrapText="1"/>
    </xf>
    <xf numFmtId="0" fontId="183" fillId="0" borderId="38" xfId="0" applyFont="1" applyBorder="1" applyAlignment="1">
      <alignment horizontal="center" wrapText="1"/>
    </xf>
    <xf numFmtId="0" fontId="183" fillId="0" borderId="39" xfId="0" applyFont="1" applyBorder="1" applyAlignment="1">
      <alignment horizontal="center" wrapText="1"/>
    </xf>
    <xf numFmtId="0" fontId="183" fillId="0" borderId="42" xfId="0" applyFont="1" applyBorder="1" applyAlignment="1">
      <alignment horizontal="center" wrapText="1"/>
    </xf>
    <xf numFmtId="0" fontId="183" fillId="0" borderId="37" xfId="0" applyFont="1" applyBorder="1" applyAlignment="1">
      <alignment horizontal="center" wrapText="1"/>
    </xf>
    <xf numFmtId="0" fontId="183" fillId="0" borderId="7" xfId="0" applyFont="1" applyBorder="1" applyAlignment="1">
      <alignment horizontal="center" wrapText="1"/>
    </xf>
    <xf numFmtId="0" fontId="184" fillId="0" borderId="75" xfId="0" applyFont="1" applyBorder="1" applyAlignment="1">
      <alignment horizontal="center" wrapText="1"/>
    </xf>
    <xf numFmtId="0" fontId="184" fillId="0" borderId="78" xfId="0" applyFont="1" applyBorder="1" applyAlignment="1">
      <alignment horizontal="center" wrapText="1"/>
    </xf>
    <xf numFmtId="0" fontId="184" fillId="0" borderId="76" xfId="0" applyFont="1" applyBorder="1" applyAlignment="1">
      <alignment horizontal="center" wrapText="1"/>
    </xf>
    <xf numFmtId="0" fontId="18" fillId="0" borderId="38" xfId="0" applyFont="1" applyBorder="1" applyAlignment="1">
      <alignment horizontal="left" vertical="center" wrapText="1"/>
    </xf>
    <xf numFmtId="0" fontId="18" fillId="0" borderId="0" xfId="0" applyFont="1" applyAlignment="1">
      <alignment horizontal="left" vertical="center" wrapText="1"/>
    </xf>
    <xf numFmtId="0" fontId="25" fillId="0" borderId="42" xfId="0" applyFont="1" applyBorder="1" applyAlignment="1">
      <alignment horizontal="center" vertical="top" wrapText="1"/>
    </xf>
    <xf numFmtId="0" fontId="25" fillId="0" borderId="37" xfId="0" applyFont="1" applyBorder="1" applyAlignment="1">
      <alignment horizontal="center" vertical="top" wrapText="1"/>
    </xf>
    <xf numFmtId="0" fontId="25" fillId="0" borderId="7" xfId="0" applyFont="1" applyBorder="1" applyAlignment="1">
      <alignment horizontal="center" vertical="top"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5" fillId="0" borderId="37" xfId="0" applyFont="1" applyBorder="1" applyAlignment="1">
      <alignment horizontal="center" wrapText="1"/>
    </xf>
    <xf numFmtId="0" fontId="25" fillId="0" borderId="7" xfId="0" applyFont="1" applyBorder="1" applyAlignment="1">
      <alignment horizontal="center" wrapText="1"/>
    </xf>
    <xf numFmtId="0" fontId="23" fillId="0" borderId="50" xfId="0" applyFont="1" applyBorder="1" applyAlignment="1">
      <alignment horizontal="right"/>
    </xf>
    <xf numFmtId="0" fontId="23" fillId="0" borderId="14" xfId="0" applyFont="1" applyBorder="1" applyAlignment="1">
      <alignment horizontal="right"/>
    </xf>
    <xf numFmtId="0" fontId="23" fillId="0" borderId="50" xfId="0" applyFont="1" applyBorder="1" applyAlignment="1">
      <alignment horizontal="center" wrapText="1"/>
    </xf>
    <xf numFmtId="0" fontId="23" fillId="0" borderId="51" xfId="0" applyFont="1" applyBorder="1" applyAlignment="1">
      <alignment horizontal="center" wrapText="1"/>
    </xf>
    <xf numFmtId="0" fontId="23" fillId="0" borderId="14" xfId="0" applyFont="1" applyBorder="1" applyAlignment="1">
      <alignment horizontal="center" wrapText="1"/>
    </xf>
    <xf numFmtId="0" fontId="80" fillId="0" borderId="0" xfId="0" applyFont="1" applyAlignment="1">
      <alignment horizontal="center"/>
    </xf>
    <xf numFmtId="0" fontId="23" fillId="0" borderId="50" xfId="0" applyFont="1" applyBorder="1" applyAlignment="1">
      <alignment horizontal="right" wrapText="1" indent="1"/>
    </xf>
    <xf numFmtId="0" fontId="23" fillId="0" borderId="51" xfId="0" applyFont="1" applyBorder="1" applyAlignment="1">
      <alignment horizontal="right" wrapText="1" indent="1"/>
    </xf>
    <xf numFmtId="0" fontId="23" fillId="0" borderId="14" xfId="0" applyFont="1" applyBorder="1" applyAlignment="1">
      <alignment horizontal="right" wrapText="1" indent="1"/>
    </xf>
    <xf numFmtId="0" fontId="23" fillId="0" borderId="50" xfId="0" applyFont="1" applyBorder="1" applyAlignment="1">
      <alignment wrapText="1"/>
    </xf>
    <xf numFmtId="0" fontId="23" fillId="0" borderId="51" xfId="0" applyFont="1" applyBorder="1" applyAlignment="1">
      <alignment wrapText="1"/>
    </xf>
    <xf numFmtId="0" fontId="23" fillId="0" borderId="14" xfId="0" applyFont="1" applyBorder="1" applyAlignment="1">
      <alignment wrapText="1"/>
    </xf>
    <xf numFmtId="0" fontId="23" fillId="0" borderId="38" xfId="0" applyFont="1" applyBorder="1" applyAlignment="1">
      <alignment wrapText="1"/>
    </xf>
    <xf numFmtId="0" fontId="23" fillId="0" borderId="39" xfId="0" applyFont="1" applyBorder="1" applyAlignment="1">
      <alignment wrapText="1"/>
    </xf>
    <xf numFmtId="0" fontId="25" fillId="0" borderId="77"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6" xfId="0" applyFont="1" applyBorder="1" applyAlignment="1">
      <alignment horizontal="center" wrapText="1"/>
    </xf>
    <xf numFmtId="0" fontId="25" fillId="0" borderId="6" xfId="0" applyFont="1" applyBorder="1" applyAlignment="1">
      <alignment horizontal="center" wrapText="1"/>
    </xf>
    <xf numFmtId="0" fontId="23" fillId="4" borderId="67" xfId="0" applyFont="1" applyFill="1" applyBorder="1" applyAlignment="1">
      <alignment horizontal="center" wrapText="1"/>
    </xf>
    <xf numFmtId="0" fontId="23" fillId="4" borderId="68" xfId="0" applyFont="1" applyFill="1" applyBorder="1" applyAlignment="1">
      <alignment horizontal="center" wrapText="1"/>
    </xf>
    <xf numFmtId="0" fontId="25" fillId="0" borderId="37" xfId="0" applyFont="1" applyBorder="1" applyAlignment="1">
      <alignment horizontal="center" vertical="center" wrapText="1"/>
    </xf>
    <xf numFmtId="0" fontId="23" fillId="0" borderId="78" xfId="0" applyFont="1" applyBorder="1" applyAlignment="1">
      <alignment horizontal="center" wrapText="1"/>
    </xf>
    <xf numFmtId="0" fontId="23" fillId="0" borderId="69" xfId="0" applyFont="1" applyBorder="1" applyAlignment="1">
      <alignment wrapText="1"/>
    </xf>
    <xf numFmtId="0" fontId="25" fillId="0" borderId="11" xfId="0" applyFont="1" applyBorder="1" applyAlignment="1">
      <alignment horizontal="center" vertical="center" wrapText="1"/>
    </xf>
    <xf numFmtId="0" fontId="25" fillId="0" borderId="12" xfId="0" applyFont="1" applyBorder="1" applyAlignment="1">
      <alignment horizontal="center" vertical="top" wrapText="1"/>
    </xf>
    <xf numFmtId="0" fontId="25" fillId="0" borderId="13" xfId="0" applyFont="1" applyBorder="1" applyAlignment="1">
      <alignment horizontal="center" vertical="top" wrapText="1"/>
    </xf>
    <xf numFmtId="0" fontId="25" fillId="0" borderId="6" xfId="0" applyFont="1" applyBorder="1" applyAlignment="1">
      <alignment horizontal="center" vertical="top" wrapText="1"/>
    </xf>
    <xf numFmtId="0" fontId="23" fillId="4" borderId="69" xfId="0" applyFont="1" applyFill="1" applyBorder="1" applyAlignment="1">
      <alignment horizontal="center" wrapText="1"/>
    </xf>
    <xf numFmtId="0" fontId="23" fillId="4" borderId="79" xfId="0" applyFont="1" applyFill="1" applyBorder="1" applyAlignment="1">
      <alignment horizontal="center" wrapText="1"/>
    </xf>
    <xf numFmtId="0" fontId="25" fillId="0" borderId="16" xfId="0" applyFont="1" applyBorder="1" applyAlignment="1">
      <alignment horizontal="center" vertical="top" wrapText="1"/>
    </xf>
    <xf numFmtId="0" fontId="29" fillId="0" borderId="46" xfId="0" applyFont="1" applyBorder="1" applyAlignment="1">
      <alignment horizontal="left" wrapText="1"/>
    </xf>
    <xf numFmtId="0" fontId="29" fillId="0" borderId="38" xfId="0" applyFont="1" applyBorder="1" applyAlignment="1">
      <alignment horizontal="left" wrapText="1"/>
    </xf>
    <xf numFmtId="0" fontId="29" fillId="0" borderId="39" xfId="0" applyFont="1" applyBorder="1" applyAlignment="1">
      <alignment horizontal="left" wrapText="1"/>
    </xf>
    <xf numFmtId="0" fontId="29" fillId="0" borderId="21" xfId="0" applyFont="1" applyBorder="1" applyAlignment="1">
      <alignment horizontal="left" wrapText="1"/>
    </xf>
    <xf numFmtId="0" fontId="29" fillId="0" borderId="0" xfId="0" applyFont="1" applyAlignment="1">
      <alignment horizontal="left" wrapText="1"/>
    </xf>
    <xf numFmtId="0" fontId="29" fillId="0" borderId="10" xfId="0" applyFont="1" applyBorder="1" applyAlignment="1">
      <alignment horizontal="left" wrapText="1"/>
    </xf>
    <xf numFmtId="0" fontId="29" fillId="0" borderId="42" xfId="0" applyFont="1" applyBorder="1" applyAlignment="1">
      <alignment horizontal="left" wrapText="1"/>
    </xf>
    <xf numFmtId="0" fontId="29" fillId="0" borderId="37" xfId="0" applyFont="1" applyBorder="1" applyAlignment="1">
      <alignment horizontal="left" wrapText="1"/>
    </xf>
    <xf numFmtId="0" fontId="29" fillId="0" borderId="7" xfId="0" applyFont="1" applyBorder="1" applyAlignment="1">
      <alignment horizontal="left" wrapText="1"/>
    </xf>
    <xf numFmtId="0" fontId="19" fillId="4" borderId="69" xfId="0" applyFont="1" applyFill="1" applyBorder="1" applyAlignment="1">
      <alignment horizontal="center"/>
    </xf>
    <xf numFmtId="0" fontId="29" fillId="0" borderId="46" xfId="0" applyFont="1" applyBorder="1" applyAlignment="1">
      <alignment wrapText="1"/>
    </xf>
    <xf numFmtId="0" fontId="29" fillId="0" borderId="38" xfId="0" applyFont="1" applyBorder="1" applyAlignment="1">
      <alignment wrapText="1"/>
    </xf>
    <xf numFmtId="0" fontId="29" fillId="0" borderId="39" xfId="0" applyFont="1" applyBorder="1" applyAlignment="1">
      <alignment wrapText="1"/>
    </xf>
    <xf numFmtId="0" fontId="29" fillId="0" borderId="42" xfId="0" applyFont="1" applyBorder="1" applyAlignment="1">
      <alignment wrapText="1"/>
    </xf>
    <xf numFmtId="0" fontId="29" fillId="0" borderId="37" xfId="0" applyFont="1" applyBorder="1" applyAlignment="1">
      <alignment wrapText="1"/>
    </xf>
    <xf numFmtId="0" fontId="29" fillId="0" borderId="7" xfId="0" applyFont="1" applyBorder="1" applyAlignment="1">
      <alignment wrapText="1"/>
    </xf>
    <xf numFmtId="0" fontId="23" fillId="4" borderId="50" xfId="0" applyFont="1" applyFill="1" applyBorder="1" applyAlignment="1">
      <alignment horizontal="right" wrapText="1" indent="1"/>
    </xf>
    <xf numFmtId="0" fontId="23" fillId="4" borderId="14" xfId="0" applyFont="1" applyFill="1" applyBorder="1" applyAlignment="1">
      <alignment horizontal="right" wrapText="1" indent="1"/>
    </xf>
    <xf numFmtId="0" fontId="20" fillId="0" borderId="46"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66"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6" xfId="0" applyFont="1" applyBorder="1" applyAlignment="1">
      <alignment horizontal="center" wrapText="1"/>
    </xf>
    <xf numFmtId="0" fontId="20" fillId="0" borderId="6" xfId="0" applyFont="1" applyBorder="1" applyAlignment="1">
      <alignment horizontal="center" wrapText="1"/>
    </xf>
    <xf numFmtId="0" fontId="20" fillId="4" borderId="12" xfId="0" applyFont="1" applyFill="1" applyBorder="1" applyAlignment="1">
      <alignment horizontal="center" vertical="center" wrapText="1"/>
    </xf>
    <xf numFmtId="0" fontId="20" fillId="4" borderId="13"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30" fillId="4" borderId="42" xfId="0" applyFont="1" applyFill="1" applyBorder="1" applyAlignment="1">
      <alignment horizontal="center"/>
    </xf>
    <xf numFmtId="0" fontId="30" fillId="4" borderId="81" xfId="0" applyFont="1" applyFill="1" applyBorder="1" applyAlignment="1">
      <alignment horizontal="center"/>
    </xf>
    <xf numFmtId="0" fontId="20" fillId="4" borderId="16" xfId="0" applyFont="1" applyFill="1" applyBorder="1" applyAlignment="1">
      <alignment horizontal="center" vertical="center" wrapText="1"/>
    </xf>
    <xf numFmtId="0" fontId="20" fillId="0" borderId="79" xfId="0" applyFont="1" applyBorder="1" applyAlignment="1">
      <alignment horizontal="center" vertical="center" wrapText="1"/>
    </xf>
    <xf numFmtId="0" fontId="20" fillId="0" borderId="69" xfId="0" applyFont="1" applyBorder="1" applyAlignment="1">
      <alignment horizontal="center" vertical="center" wrapText="1"/>
    </xf>
    <xf numFmtId="0" fontId="30" fillId="0" borderId="82" xfId="0" applyFont="1" applyBorder="1" applyAlignment="1">
      <alignment horizontal="center" wrapText="1"/>
    </xf>
    <xf numFmtId="0" fontId="30" fillId="0" borderId="83" xfId="0" applyFont="1" applyBorder="1" applyAlignment="1">
      <alignment horizontal="center" wrapText="1"/>
    </xf>
    <xf numFmtId="0" fontId="30" fillId="4" borderId="50" xfId="0" applyFont="1" applyFill="1" applyBorder="1" applyAlignment="1">
      <alignment horizontal="center"/>
    </xf>
    <xf numFmtId="0" fontId="30" fillId="4" borderId="14" xfId="0" applyFont="1" applyFill="1" applyBorder="1" applyAlignment="1">
      <alignment horizontal="center"/>
    </xf>
    <xf numFmtId="0" fontId="20" fillId="4" borderId="12" xfId="0" applyFont="1" applyFill="1" applyBorder="1" applyAlignment="1">
      <alignment vertical="center" wrapText="1"/>
    </xf>
    <xf numFmtId="0" fontId="20" fillId="4" borderId="13" xfId="0" applyFont="1" applyFill="1" applyBorder="1" applyAlignment="1">
      <alignment vertical="center" wrapText="1"/>
    </xf>
    <xf numFmtId="0" fontId="20" fillId="4" borderId="80" xfId="0" applyFont="1" applyFill="1" applyBorder="1" applyAlignment="1">
      <alignment vertical="center" wrapText="1"/>
    </xf>
    <xf numFmtId="0" fontId="30" fillId="0" borderId="50" xfId="0" applyFont="1" applyBorder="1" applyAlignment="1">
      <alignment horizontal="right" wrapText="1" indent="1"/>
    </xf>
    <xf numFmtId="0" fontId="30" fillId="0" borderId="14" xfId="0" applyFont="1" applyBorder="1" applyAlignment="1">
      <alignment horizontal="right" wrapText="1" indent="1"/>
    </xf>
    <xf numFmtId="0" fontId="30" fillId="0" borderId="50" xfId="0" applyFont="1" applyBorder="1" applyAlignment="1">
      <alignment wrapText="1"/>
    </xf>
    <xf numFmtId="0" fontId="30" fillId="0" borderId="51" xfId="0" applyFont="1" applyBorder="1" applyAlignment="1">
      <alignment wrapText="1"/>
    </xf>
    <xf numFmtId="0" fontId="30" fillId="0" borderId="69" xfId="0" applyFont="1" applyBorder="1" applyAlignment="1">
      <alignment wrapText="1"/>
    </xf>
    <xf numFmtId="0" fontId="30" fillId="4" borderId="50" xfId="0" applyFont="1" applyFill="1" applyBorder="1" applyAlignment="1">
      <alignment horizontal="right" wrapText="1" indent="1"/>
    </xf>
    <xf numFmtId="0" fontId="30" fillId="4" borderId="14" xfId="0" applyFont="1" applyFill="1" applyBorder="1" applyAlignment="1">
      <alignment horizontal="right" wrapText="1" indent="1"/>
    </xf>
    <xf numFmtId="0" fontId="30" fillId="4" borderId="50" xfId="0" applyFont="1" applyFill="1" applyBorder="1" applyAlignment="1">
      <alignment horizontal="center" wrapText="1"/>
    </xf>
    <xf numFmtId="0" fontId="30" fillId="4" borderId="51" xfId="0" applyFont="1" applyFill="1" applyBorder="1" applyAlignment="1">
      <alignment horizontal="center" wrapText="1"/>
    </xf>
    <xf numFmtId="0" fontId="30" fillId="4" borderId="69" xfId="0" applyFont="1" applyFill="1" applyBorder="1" applyAlignment="1">
      <alignment horizontal="center" wrapText="1"/>
    </xf>
    <xf numFmtId="0" fontId="20" fillId="0" borderId="85" xfId="0" applyFont="1" applyBorder="1" applyAlignment="1">
      <alignment horizontal="center" vertical="center" wrapText="1"/>
    </xf>
    <xf numFmtId="0" fontId="20" fillId="0" borderId="89" xfId="0" applyFont="1" applyBorder="1" applyAlignment="1">
      <alignment horizontal="center" vertical="center" wrapText="1"/>
    </xf>
    <xf numFmtId="0" fontId="20" fillId="0" borderId="90" xfId="0" applyFont="1" applyBorder="1" applyAlignment="1">
      <alignment horizontal="center" vertical="center" wrapText="1"/>
    </xf>
    <xf numFmtId="0" fontId="20" fillId="0" borderId="79" xfId="0" applyFont="1" applyBorder="1" applyAlignment="1">
      <alignment horizontal="center" vertical="top" wrapText="1"/>
    </xf>
    <xf numFmtId="0" fontId="20" fillId="0" borderId="69" xfId="0" applyFont="1" applyBorder="1" applyAlignment="1">
      <alignment horizontal="center" vertical="top" wrapText="1"/>
    </xf>
    <xf numFmtId="0" fontId="20" fillId="0" borderId="84"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81" xfId="0" applyFont="1" applyBorder="1" applyAlignment="1">
      <alignment horizontal="center" vertical="center" wrapText="1"/>
    </xf>
    <xf numFmtId="0" fontId="73" fillId="0" borderId="85" xfId="0" applyFont="1" applyBorder="1" applyAlignment="1">
      <alignment horizontal="center" vertical="center" wrapText="1"/>
    </xf>
    <xf numFmtId="0" fontId="73" fillId="0" borderId="86" xfId="0" applyFont="1" applyBorder="1" applyAlignment="1">
      <alignment horizontal="center" vertical="center" wrapText="1"/>
    </xf>
    <xf numFmtId="0" fontId="73" fillId="0" borderId="81" xfId="0" applyFont="1" applyBorder="1" applyAlignment="1">
      <alignment horizontal="center" vertical="center" wrapText="1"/>
    </xf>
    <xf numFmtId="0" fontId="20" fillId="0" borderId="87" xfId="0" applyFont="1" applyBorder="1" applyAlignment="1">
      <alignment horizontal="center" vertical="center" wrapText="1"/>
    </xf>
    <xf numFmtId="0" fontId="20" fillId="0" borderId="88" xfId="0" applyFont="1" applyBorder="1" applyAlignment="1">
      <alignment horizontal="center" vertical="center" wrapText="1"/>
    </xf>
    <xf numFmtId="0" fontId="80" fillId="0" borderId="0" xfId="0" applyFont="1" applyAlignment="1">
      <alignment horizontal="right"/>
    </xf>
    <xf numFmtId="3" fontId="130" fillId="0" borderId="0" xfId="0" applyNumberFormat="1" applyFont="1" applyAlignment="1">
      <alignment vertical="center"/>
    </xf>
    <xf numFmtId="0" fontId="73" fillId="0" borderId="50" xfId="0" applyFont="1" applyBorder="1" applyAlignment="1">
      <alignment horizontal="center"/>
    </xf>
    <xf numFmtId="0" fontId="73" fillId="0" borderId="51" xfId="0" applyFont="1" applyBorder="1" applyAlignment="1">
      <alignment horizontal="center"/>
    </xf>
    <xf numFmtId="0" fontId="73" fillId="0" borderId="14" xfId="0" applyFont="1" applyBorder="1" applyAlignment="1">
      <alignment horizontal="center"/>
    </xf>
    <xf numFmtId="0" fontId="20" fillId="0" borderId="16" xfId="0" applyFont="1" applyBorder="1" applyAlignment="1">
      <alignment horizontal="center" vertical="center" wrapText="1"/>
    </xf>
    <xf numFmtId="0" fontId="20" fillId="0" borderId="6" xfId="0" applyFont="1" applyBorder="1" applyAlignment="1">
      <alignment horizontal="center" vertical="center" wrapText="1"/>
    </xf>
    <xf numFmtId="0" fontId="73" fillId="0" borderId="6" xfId="0" applyFont="1" applyBorder="1" applyAlignment="1">
      <alignment horizontal="center" vertical="center" wrapText="1"/>
    </xf>
    <xf numFmtId="0" fontId="96" fillId="20" borderId="18" xfId="14" applyFont="1" applyFill="1" applyBorder="1" applyAlignment="1">
      <alignment horizontal="center"/>
    </xf>
    <xf numFmtId="0" fontId="96" fillId="20" borderId="19" xfId="14" applyFont="1" applyFill="1" applyBorder="1" applyAlignment="1">
      <alignment horizontal="center"/>
    </xf>
    <xf numFmtId="0" fontId="25" fillId="0" borderId="16" xfId="14" applyFont="1" applyBorder="1" applyAlignment="1">
      <alignment horizontal="center" vertical="center" wrapText="1"/>
    </xf>
    <xf numFmtId="0" fontId="25" fillId="0" borderId="13" xfId="14" applyFont="1" applyBorder="1" applyAlignment="1">
      <alignment horizontal="center" vertical="center" wrapText="1"/>
    </xf>
    <xf numFmtId="0" fontId="25" fillId="0" borderId="11" xfId="14" applyFont="1" applyBorder="1" applyAlignment="1">
      <alignment horizontal="center" vertical="center" wrapText="1"/>
    </xf>
    <xf numFmtId="0" fontId="23" fillId="0" borderId="50" xfId="14" applyFont="1" applyBorder="1" applyAlignment="1">
      <alignment wrapText="1"/>
    </xf>
    <xf numFmtId="0" fontId="23" fillId="0" borderId="51" xfId="14" applyFont="1" applyBorder="1" applyAlignment="1">
      <alignment wrapText="1"/>
    </xf>
    <xf numFmtId="0" fontId="23" fillId="0" borderId="69" xfId="14" applyFont="1" applyBorder="1" applyAlignment="1">
      <alignment wrapText="1"/>
    </xf>
    <xf numFmtId="0" fontId="23" fillId="4" borderId="50" xfId="14" applyFont="1" applyFill="1" applyBorder="1" applyAlignment="1">
      <alignment horizontal="center" wrapText="1"/>
    </xf>
    <xf numFmtId="0" fontId="23" fillId="4" borderId="51" xfId="14" applyFont="1" applyFill="1" applyBorder="1" applyAlignment="1">
      <alignment horizontal="center" wrapText="1"/>
    </xf>
    <xf numFmtId="0" fontId="23" fillId="4" borderId="69" xfId="14" applyFont="1" applyFill="1" applyBorder="1" applyAlignment="1">
      <alignment horizontal="center" wrapText="1"/>
    </xf>
    <xf numFmtId="0" fontId="25" fillId="0" borderId="16" xfId="13" applyFont="1" applyBorder="1" applyAlignment="1">
      <alignment horizontal="center" vertical="center" wrapText="1"/>
    </xf>
    <xf numFmtId="0" fontId="25" fillId="0" borderId="13" xfId="13" applyFont="1" applyBorder="1" applyAlignment="1">
      <alignment horizontal="center" vertical="center" wrapText="1"/>
    </xf>
    <xf numFmtId="0" fontId="25" fillId="0" borderId="11" xfId="13" applyFont="1" applyBorder="1" applyAlignment="1">
      <alignment horizontal="center" vertical="center" wrapText="1"/>
    </xf>
    <xf numFmtId="0" fontId="25" fillId="0" borderId="6" xfId="13" applyFont="1" applyBorder="1" applyAlignment="1">
      <alignment horizontal="center" vertical="center" wrapText="1"/>
    </xf>
    <xf numFmtId="0" fontId="18" fillId="0" borderId="6" xfId="13" applyBorder="1" applyAlignment="1">
      <alignment horizontal="center" vertical="center" wrapText="1"/>
    </xf>
    <xf numFmtId="0" fontId="23" fillId="0" borderId="50" xfId="13" applyFont="1" applyBorder="1" applyAlignment="1">
      <alignment wrapText="1"/>
    </xf>
    <xf numFmtId="0" fontId="23" fillId="0" borderId="51" xfId="13" applyFont="1" applyBorder="1" applyAlignment="1">
      <alignment wrapText="1"/>
    </xf>
    <xf numFmtId="0" fontId="23" fillId="0" borderId="69" xfId="13" applyFont="1" applyBorder="1" applyAlignment="1">
      <alignment wrapText="1"/>
    </xf>
    <xf numFmtId="0" fontId="23" fillId="4" borderId="50" xfId="13" applyFont="1" applyFill="1" applyBorder="1" applyAlignment="1">
      <alignment horizontal="center" wrapText="1"/>
    </xf>
    <xf numFmtId="0" fontId="23" fillId="4" borderId="51" xfId="13" applyFont="1" applyFill="1" applyBorder="1" applyAlignment="1">
      <alignment horizontal="center" wrapText="1"/>
    </xf>
    <xf numFmtId="0" fontId="23" fillId="4" borderId="69" xfId="13" applyFont="1" applyFill="1" applyBorder="1" applyAlignment="1">
      <alignment horizontal="center" wrapText="1"/>
    </xf>
    <xf numFmtId="0" fontId="156" fillId="0" borderId="0" xfId="13" applyFont="1" applyAlignment="1">
      <alignment horizontal="center"/>
    </xf>
    <xf numFmtId="0" fontId="29" fillId="0" borderId="91" xfId="13" applyFont="1" applyBorder="1"/>
    <xf numFmtId="0" fontId="29" fillId="0" borderId="92" xfId="13" applyFont="1" applyBorder="1"/>
    <xf numFmtId="0" fontId="29" fillId="0" borderId="93" xfId="13" applyFont="1" applyBorder="1"/>
    <xf numFmtId="0" fontId="25" fillId="0" borderId="77" xfId="13" applyFont="1" applyBorder="1" applyAlignment="1">
      <alignment horizontal="center" vertical="center" wrapText="1"/>
    </xf>
    <xf numFmtId="0" fontId="23" fillId="4" borderId="46" xfId="13" applyFont="1" applyFill="1" applyBorder="1" applyAlignment="1">
      <alignment horizontal="center" vertical="center"/>
    </xf>
    <xf numFmtId="0" fontId="23" fillId="4" borderId="0" xfId="13" applyFont="1" applyFill="1" applyAlignment="1">
      <alignment horizontal="center" vertical="center"/>
    </xf>
    <xf numFmtId="0" fontId="23" fillId="4" borderId="39" xfId="13" applyFont="1" applyFill="1" applyBorder="1" applyAlignment="1">
      <alignment horizontal="center" vertical="center"/>
    </xf>
    <xf numFmtId="0" fontId="23" fillId="4" borderId="21" xfId="13" applyFont="1" applyFill="1" applyBorder="1" applyAlignment="1">
      <alignment horizontal="center" vertical="center"/>
    </xf>
    <xf numFmtId="0" fontId="23" fillId="4" borderId="10" xfId="13" applyFont="1" applyFill="1" applyBorder="1" applyAlignment="1">
      <alignment horizontal="center" vertical="center"/>
    </xf>
    <xf numFmtId="0" fontId="23" fillId="4" borderId="42" xfId="13" applyFont="1" applyFill="1" applyBorder="1" applyAlignment="1">
      <alignment horizontal="center" vertical="center"/>
    </xf>
    <xf numFmtId="0" fontId="23" fillId="4" borderId="37" xfId="13" applyFont="1" applyFill="1" applyBorder="1" applyAlignment="1">
      <alignment horizontal="center" vertical="center"/>
    </xf>
    <xf numFmtId="0" fontId="23" fillId="4" borderId="7" xfId="13" applyFont="1" applyFill="1" applyBorder="1" applyAlignment="1">
      <alignment horizontal="center" vertical="center"/>
    </xf>
    <xf numFmtId="0" fontId="25" fillId="4" borderId="77" xfId="13" applyFont="1" applyFill="1" applyBorder="1" applyAlignment="1">
      <alignment horizontal="left" indent="1"/>
    </xf>
    <xf numFmtId="0" fontId="25" fillId="4" borderId="13" xfId="13" applyFont="1" applyFill="1" applyBorder="1" applyAlignment="1">
      <alignment horizontal="left" indent="1"/>
    </xf>
    <xf numFmtId="0" fontId="25" fillId="4" borderId="6" xfId="13" applyFont="1" applyFill="1" applyBorder="1" applyAlignment="1">
      <alignment horizontal="left" indent="1"/>
    </xf>
    <xf numFmtId="0" fontId="25" fillId="4" borderId="50" xfId="13" applyFont="1" applyFill="1" applyBorder="1" applyAlignment="1">
      <alignment horizontal="left" wrapText="1" indent="1"/>
    </xf>
    <xf numFmtId="0" fontId="25" fillId="4" borderId="14" xfId="13" applyFont="1" applyFill="1" applyBorder="1" applyAlignment="1">
      <alignment horizontal="left" wrapText="1" indent="1"/>
    </xf>
    <xf numFmtId="0" fontId="25" fillId="4" borderId="69" xfId="13" applyFont="1" applyFill="1" applyBorder="1" applyAlignment="1">
      <alignment horizontal="left" wrapText="1" indent="1"/>
    </xf>
    <xf numFmtId="0" fontId="25" fillId="0" borderId="161" xfId="13" applyFont="1" applyBorder="1" applyAlignment="1">
      <alignment horizontal="center" vertical="center" wrapText="1"/>
    </xf>
    <xf numFmtId="0" fontId="25" fillId="0" borderId="10" xfId="13" applyFont="1" applyBorder="1" applyAlignment="1">
      <alignment horizontal="center" vertical="center" wrapText="1"/>
    </xf>
    <xf numFmtId="0" fontId="25" fillId="0" borderId="9" xfId="13" applyFont="1" applyBorder="1" applyAlignment="1">
      <alignment horizontal="center" vertical="center" wrapText="1"/>
    </xf>
    <xf numFmtId="168" fontId="25" fillId="0" borderId="12" xfId="13" applyNumberFormat="1" applyFont="1" applyBorder="1" applyAlignment="1">
      <alignment horizontal="center" vertical="center" wrapText="1"/>
    </xf>
    <xf numFmtId="168" fontId="25" fillId="0" borderId="13" xfId="13" applyNumberFormat="1" applyFont="1" applyBorder="1" applyAlignment="1">
      <alignment horizontal="center" vertical="center" wrapText="1"/>
    </xf>
    <xf numFmtId="168" fontId="25" fillId="0" borderId="80" xfId="13" applyNumberFormat="1" applyFont="1" applyBorder="1" applyAlignment="1">
      <alignment horizontal="center" vertical="center" wrapText="1"/>
    </xf>
    <xf numFmtId="2" fontId="25" fillId="0" borderId="12" xfId="13" applyNumberFormat="1" applyFont="1" applyBorder="1" applyAlignment="1">
      <alignment horizontal="center" vertical="center" wrapText="1"/>
    </xf>
    <xf numFmtId="2" fontId="25" fillId="0" borderId="13" xfId="13" applyNumberFormat="1" applyFont="1" applyBorder="1" applyAlignment="1">
      <alignment horizontal="center" vertical="center" wrapText="1"/>
    </xf>
    <xf numFmtId="2" fontId="25" fillId="0" borderId="80" xfId="13" applyNumberFormat="1" applyFont="1" applyBorder="1" applyAlignment="1">
      <alignment horizontal="center" vertical="center" wrapText="1"/>
    </xf>
    <xf numFmtId="0" fontId="25" fillId="0" borderId="162" xfId="13" applyFont="1" applyBorder="1" applyAlignment="1">
      <alignment horizontal="center" vertical="center" wrapText="1"/>
    </xf>
    <xf numFmtId="168" fontId="25" fillId="0" borderId="77" xfId="13" applyNumberFormat="1" applyFont="1" applyBorder="1" applyAlignment="1">
      <alignment horizontal="center" vertical="center" wrapText="1"/>
    </xf>
    <xf numFmtId="2" fontId="25" fillId="0" borderId="77" xfId="13" applyNumberFormat="1" applyFont="1" applyBorder="1" applyAlignment="1">
      <alignment horizontal="center" vertical="center" wrapText="1"/>
    </xf>
    <xf numFmtId="0" fontId="29" fillId="0" borderId="46" xfId="13" applyFont="1" applyBorder="1"/>
    <xf numFmtId="0" fontId="29" fillId="0" borderId="38" xfId="13" applyFont="1" applyBorder="1"/>
    <xf numFmtId="0" fontId="29" fillId="0" borderId="85" xfId="13" applyFont="1" applyBorder="1"/>
    <xf numFmtId="0" fontId="25" fillId="0" borderId="12" xfId="13" applyFont="1" applyBorder="1" applyAlignment="1">
      <alignment horizontal="center" vertical="center" wrapText="1"/>
    </xf>
    <xf numFmtId="0" fontId="25" fillId="0" borderId="80" xfId="13" applyFont="1" applyBorder="1" applyAlignment="1">
      <alignment horizontal="center" vertical="center" wrapText="1"/>
    </xf>
    <xf numFmtId="168" fontId="25" fillId="0" borderId="11" xfId="13" applyNumberFormat="1" applyFont="1" applyBorder="1" applyAlignment="1">
      <alignment horizontal="center" vertical="center" wrapText="1"/>
    </xf>
    <xf numFmtId="2" fontId="25" fillId="0" borderId="11" xfId="13" applyNumberFormat="1" applyFont="1" applyBorder="1" applyAlignment="1">
      <alignment horizontal="center" vertical="center" wrapText="1"/>
    </xf>
    <xf numFmtId="0" fontId="25" fillId="0" borderId="42" xfId="13" applyFont="1" applyBorder="1" applyAlignment="1">
      <alignment horizontal="center" vertical="center" wrapText="1"/>
    </xf>
    <xf numFmtId="0" fontId="25" fillId="0" borderId="7" xfId="13" applyFont="1" applyBorder="1" applyAlignment="1">
      <alignment horizontal="center" vertical="center" wrapText="1"/>
    </xf>
    <xf numFmtId="0" fontId="25" fillId="0" borderId="46" xfId="13" applyFont="1" applyBorder="1" applyAlignment="1">
      <alignment horizontal="center" vertical="center" wrapText="1"/>
    </xf>
    <xf numFmtId="0" fontId="25" fillId="0" borderId="39" xfId="13" applyFont="1" applyBorder="1" applyAlignment="1">
      <alignment horizontal="center" vertical="center" wrapText="1"/>
    </xf>
    <xf numFmtId="0" fontId="23" fillId="0" borderId="75" xfId="13" applyFont="1" applyBorder="1" applyAlignment="1">
      <alignment horizontal="center" wrapText="1"/>
    </xf>
    <xf numFmtId="0" fontId="23" fillId="0" borderId="76" xfId="13" applyFont="1" applyBorder="1" applyAlignment="1">
      <alignment horizontal="center" wrapText="1"/>
    </xf>
    <xf numFmtId="0" fontId="25" fillId="0" borderId="50" xfId="13" applyFont="1" applyBorder="1" applyAlignment="1">
      <alignment horizontal="center" vertical="center" wrapText="1"/>
    </xf>
    <xf numFmtId="0" fontId="25" fillId="0" borderId="14" xfId="13" applyFont="1" applyBorder="1" applyAlignment="1">
      <alignment horizontal="center" vertical="center" wrapText="1"/>
    </xf>
    <xf numFmtId="0" fontId="25" fillId="0" borderId="8" xfId="13" applyFont="1" applyBorder="1" applyAlignment="1">
      <alignment horizontal="center" vertical="center" wrapText="1"/>
    </xf>
    <xf numFmtId="0" fontId="25" fillId="0" borderId="50" xfId="13" applyFont="1" applyBorder="1" applyAlignment="1">
      <alignment horizontal="center" vertical="top" wrapText="1"/>
    </xf>
    <xf numFmtId="0" fontId="25" fillId="0" borderId="14" xfId="13" applyFont="1" applyBorder="1" applyAlignment="1">
      <alignment horizontal="center" vertical="top" wrapText="1"/>
    </xf>
    <xf numFmtId="0" fontId="23" fillId="0" borderId="50" xfId="13" applyFont="1" applyBorder="1" applyAlignment="1">
      <alignment horizontal="right" wrapText="1" indent="1"/>
    </xf>
    <xf numFmtId="0" fontId="23" fillId="0" borderId="14" xfId="13" applyFont="1" applyBorder="1" applyAlignment="1">
      <alignment horizontal="right" wrapText="1" indent="1"/>
    </xf>
    <xf numFmtId="0" fontId="23" fillId="0" borderId="14" xfId="13" applyFont="1" applyBorder="1" applyAlignment="1">
      <alignment wrapText="1"/>
    </xf>
    <xf numFmtId="0" fontId="23" fillId="4" borderId="50" xfId="13" applyFont="1" applyFill="1" applyBorder="1" applyAlignment="1">
      <alignment horizontal="right" wrapText="1" indent="1"/>
    </xf>
    <xf numFmtId="0" fontId="23" fillId="4" borderId="14" xfId="13" applyFont="1" applyFill="1" applyBorder="1" applyAlignment="1">
      <alignment horizontal="right" wrapText="1" indent="1"/>
    </xf>
    <xf numFmtId="0" fontId="0" fillId="0" borderId="0" xfId="0" applyAlignment="1">
      <alignment horizontal="center"/>
    </xf>
    <xf numFmtId="0" fontId="158" fillId="18" borderId="1" xfId="0" applyFont="1" applyFill="1" applyBorder="1" applyAlignment="1">
      <alignment horizontal="center"/>
    </xf>
    <xf numFmtId="0" fontId="159" fillId="28" borderId="1" xfId="0" applyFont="1" applyFill="1" applyBorder="1" applyAlignment="1">
      <alignment horizontal="center" vertical="center" wrapText="1"/>
    </xf>
    <xf numFmtId="0" fontId="113" fillId="18" borderId="32" xfId="0" applyFont="1" applyFill="1" applyBorder="1" applyAlignment="1">
      <alignment horizontal="center"/>
    </xf>
    <xf numFmtId="0" fontId="113" fillId="18" borderId="55" xfId="0" applyFont="1" applyFill="1" applyBorder="1" applyAlignment="1">
      <alignment horizontal="center"/>
    </xf>
    <xf numFmtId="0" fontId="113" fillId="28" borderId="1" xfId="0" applyFont="1" applyFill="1" applyBorder="1" applyAlignment="1">
      <alignment horizontal="center" vertical="center" wrapText="1"/>
    </xf>
    <xf numFmtId="0" fontId="0" fillId="23" borderId="119" xfId="0" applyFill="1" applyBorder="1" applyAlignment="1">
      <alignment horizontal="center"/>
    </xf>
    <xf numFmtId="0" fontId="0" fillId="23" borderId="0" xfId="0" applyFill="1" applyAlignment="1">
      <alignment horizontal="center"/>
    </xf>
    <xf numFmtId="0" fontId="0" fillId="23" borderId="104" xfId="0" applyFill="1" applyBorder="1" applyAlignment="1">
      <alignment horizontal="center"/>
    </xf>
    <xf numFmtId="0" fontId="73" fillId="23" borderId="98" xfId="0" applyFont="1" applyFill="1" applyBorder="1" applyAlignment="1">
      <alignment horizontal="left" vertical="top" wrapText="1"/>
    </xf>
    <xf numFmtId="0" fontId="73" fillId="23" borderId="120" xfId="0" applyFont="1" applyFill="1" applyBorder="1" applyAlignment="1">
      <alignment horizontal="left" vertical="top" wrapText="1"/>
    </xf>
    <xf numFmtId="0" fontId="73" fillId="23" borderId="99" xfId="0" applyFont="1" applyFill="1" applyBorder="1" applyAlignment="1">
      <alignment horizontal="left" vertical="top" wrapText="1"/>
    </xf>
    <xf numFmtId="0" fontId="116" fillId="19" borderId="101" xfId="0" applyFont="1" applyFill="1" applyBorder="1" applyAlignment="1">
      <alignment horizontal="center" vertical="top" wrapText="1"/>
    </xf>
    <xf numFmtId="0" fontId="116" fillId="19" borderId="103" xfId="0" applyFont="1" applyFill="1" applyBorder="1" applyAlignment="1">
      <alignment horizontal="center" vertical="top" wrapText="1"/>
    </xf>
    <xf numFmtId="0" fontId="116" fillId="19" borderId="102" xfId="0" applyFont="1" applyFill="1" applyBorder="1" applyAlignment="1">
      <alignment horizontal="center" vertical="top" wrapText="1"/>
    </xf>
    <xf numFmtId="170" fontId="78" fillId="0" borderId="52" xfId="17" applyNumberFormat="1" applyFont="1" applyBorder="1" applyAlignment="1">
      <alignment horizontal="center" vertical="center"/>
    </xf>
    <xf numFmtId="170" fontId="78" fillId="0" borderId="31" xfId="17" applyNumberFormat="1" applyFont="1" applyBorder="1" applyAlignment="1">
      <alignment horizontal="center" vertical="center"/>
    </xf>
    <xf numFmtId="170" fontId="19" fillId="0" borderId="23" xfId="17" applyNumberFormat="1" applyFont="1" applyFill="1" applyBorder="1" applyAlignment="1" applyProtection="1">
      <alignment horizontal="center" vertical="center"/>
    </xf>
    <xf numFmtId="170" fontId="19" fillId="0" borderId="2" xfId="17" applyNumberFormat="1" applyFont="1" applyFill="1" applyBorder="1" applyAlignment="1" applyProtection="1">
      <alignment horizontal="center" vertical="center"/>
    </xf>
    <xf numFmtId="0" fontId="157" fillId="23" borderId="0" xfId="0" applyFont="1" applyFill="1" applyAlignment="1">
      <alignment horizontal="center" wrapText="1"/>
    </xf>
    <xf numFmtId="0" fontId="104" fillId="23" borderId="0" xfId="15" applyFont="1" applyFill="1" applyAlignment="1">
      <alignment horizontal="center" wrapText="1"/>
    </xf>
    <xf numFmtId="0" fontId="5" fillId="26" borderId="61" xfId="45" applyFill="1" applyBorder="1" applyAlignment="1">
      <alignment wrapText="1"/>
    </xf>
    <xf numFmtId="0" fontId="5" fillId="26" borderId="72" xfId="45" applyFill="1" applyBorder="1" applyAlignment="1">
      <alignment wrapText="1"/>
    </xf>
    <xf numFmtId="0" fontId="5" fillId="26" borderId="74" xfId="45" applyFill="1" applyBorder="1" applyAlignment="1">
      <alignment wrapText="1"/>
    </xf>
    <xf numFmtId="0" fontId="3" fillId="0" borderId="127" xfId="46" applyBorder="1" applyAlignment="1">
      <alignment vertical="top" wrapText="1"/>
    </xf>
    <xf numFmtId="0" fontId="3" fillId="0" borderId="131" xfId="46" applyBorder="1" applyAlignment="1">
      <alignment vertical="top" wrapText="1"/>
    </xf>
    <xf numFmtId="0" fontId="3" fillId="0" borderId="28" xfId="46" applyBorder="1" applyAlignment="1">
      <alignment wrapText="1"/>
    </xf>
    <xf numFmtId="0" fontId="3" fillId="0" borderId="28" xfId="46" applyBorder="1" applyAlignment="1">
      <alignment vertical="top"/>
    </xf>
    <xf numFmtId="0" fontId="3" fillId="0" borderId="54" xfId="46" applyBorder="1" applyAlignment="1">
      <alignment vertical="top" wrapText="1"/>
    </xf>
    <xf numFmtId="0" fontId="3" fillId="0" borderId="2" xfId="46" applyBorder="1" applyAlignment="1">
      <alignment vertical="top"/>
    </xf>
    <xf numFmtId="0" fontId="3" fillId="0" borderId="49" xfId="46" applyBorder="1" applyAlignment="1">
      <alignment vertical="top"/>
    </xf>
    <xf numFmtId="0" fontId="3" fillId="26" borderId="23" xfId="46" applyFill="1" applyBorder="1" applyAlignment="1">
      <alignment horizontal="center" wrapText="1"/>
    </xf>
    <xf numFmtId="0" fontId="3" fillId="26" borderId="2" xfId="46" applyFill="1" applyBorder="1" applyAlignment="1">
      <alignment horizontal="center" wrapText="1"/>
    </xf>
    <xf numFmtId="0" fontId="116" fillId="19" borderId="1" xfId="0" applyFont="1" applyFill="1" applyBorder="1" applyAlignment="1">
      <alignment horizontal="center" vertical="top" wrapText="1"/>
    </xf>
    <xf numFmtId="2" fontId="116" fillId="19" borderId="101" xfId="0" applyNumberFormat="1" applyFont="1" applyFill="1" applyBorder="1" applyAlignment="1">
      <alignment horizontal="center" vertical="top" wrapText="1"/>
    </xf>
    <xf numFmtId="2" fontId="116" fillId="19" borderId="102" xfId="0" applyNumberFormat="1" applyFont="1" applyFill="1" applyBorder="1" applyAlignment="1">
      <alignment horizontal="center" vertical="top" wrapText="1"/>
    </xf>
    <xf numFmtId="0" fontId="129" fillId="19" borderId="32" xfId="0" applyFont="1" applyFill="1" applyBorder="1" applyAlignment="1">
      <alignment horizontal="center"/>
    </xf>
    <xf numFmtId="0" fontId="129" fillId="19" borderId="65" xfId="0" applyFont="1" applyFill="1" applyBorder="1" applyAlignment="1">
      <alignment horizontal="center"/>
    </xf>
    <xf numFmtId="0" fontId="129" fillId="19" borderId="55" xfId="0" applyFont="1" applyFill="1" applyBorder="1" applyAlignment="1">
      <alignment horizontal="center"/>
    </xf>
  </cellXfs>
  <cellStyles count="55">
    <cellStyle name="2x indented GHG Textfiels" xfId="28" xr:uid="{F17B68DF-DBBE-4B64-A8E4-D6DC1E864136}"/>
    <cellStyle name="5x indented GHG Textfiels" xfId="29" xr:uid="{1C6B0408-2F26-46E2-867D-A7B128BD331C}"/>
    <cellStyle name="Accent3" xfId="3" builtinId="37"/>
    <cellStyle name="AggblueCels" xfId="52" xr:uid="{87A512E9-E16D-4F18-A1FC-F3176F923800}"/>
    <cellStyle name="AggblueCels_1x" xfId="51" xr:uid="{0E866A7C-3A13-4599-B7E6-564FF484738C}"/>
    <cellStyle name="AggblueCels_bold_T2x" xfId="50" xr:uid="{B1E5A792-DAB0-4E94-A40F-75BC48D67C08}"/>
    <cellStyle name="AggOrange" xfId="35" xr:uid="{A632017D-A91C-45CA-AE47-E0F207B37F18}"/>
    <cellStyle name="AggOrange_LR_Left" xfId="44" xr:uid="{765096B0-E278-4E35-8145-635E0896DDD2}"/>
    <cellStyle name="AggOrangeRBorder" xfId="36" xr:uid="{F4431B74-F1CC-4005-9A1F-AD106973BC1B}"/>
    <cellStyle name="Check Cell" xfId="1" builtinId="23"/>
    <cellStyle name="Comma" xfId="9" builtinId="3"/>
    <cellStyle name="Comma_Book1" xfId="2" xr:uid="{00000000-0005-0000-0000-000001000000}"/>
    <cellStyle name="Constants" xfId="22" xr:uid="{76C3DDDC-7FB6-4356-94C0-8423DB6F36B0}"/>
    <cellStyle name="CustomizationCells" xfId="42" xr:uid="{2461787C-0913-4D64-9301-5E52E78276E3}"/>
    <cellStyle name="DocBox_EmptyRow" xfId="34" xr:uid="{A4E68523-62EF-4B30-912B-83F99FE370F8}"/>
    <cellStyle name="Empty_B_border" xfId="54" xr:uid="{4E65E6B5-5F6E-44E9-A073-9B701DBFA2BD}"/>
    <cellStyle name="Empty_L_border" xfId="53" xr:uid="{1676F02E-6817-4C95-85EF-E1643D245420}"/>
    <cellStyle name="Empty_TBorder" xfId="33" xr:uid="{1E360FAC-0B3F-47F0-93B5-75FD39B165EA}"/>
    <cellStyle name="Excel Built-in Comma" xfId="4" xr:uid="{00000000-0005-0000-0000-000003000000}"/>
    <cellStyle name="Heading" xfId="5" xr:uid="{00000000-0005-0000-0000-000004000000}"/>
    <cellStyle name="Heading1" xfId="6" xr:uid="{00000000-0005-0000-0000-000005000000}"/>
    <cellStyle name="Headline" xfId="21" xr:uid="{9EAB5D32-BFB3-4F5C-BADE-676BEF545FA5}"/>
    <cellStyle name="Hipervínculo 2" xfId="23" xr:uid="{5683D98E-1ECA-4BE8-A1A1-95C3B17FEA18}"/>
    <cellStyle name="Hipervínculo 4" xfId="8" xr:uid="{00000000-0005-0000-0000-000007000000}"/>
    <cellStyle name="Hyperlink" xfId="7" builtinId="8"/>
    <cellStyle name="InputCells" xfId="37" xr:uid="{69CEA83C-CB0D-4F6A-9229-F725813C61D1}"/>
    <cellStyle name="InputCells12" xfId="31" xr:uid="{A38C6940-AFF9-43E8-9772-3F2751BFF8BE}"/>
    <cellStyle name="InputCells12_RBorder" xfId="32" xr:uid="{DAAC1BD4-19C6-4B8C-B17C-CAD4510F01C9}"/>
    <cellStyle name="InputCells12_RBorder_CRFReport-template" xfId="41" xr:uid="{A65B6A35-F7AC-432F-BC20-AFCAC7D02A0C}"/>
    <cellStyle name="Millares 2" xfId="10" xr:uid="{00000000-0005-0000-0000-000009000000}"/>
    <cellStyle name="Millares 3" xfId="47" xr:uid="{C17D7CF7-351D-4BC5-A741-AA6B5DC09A19}"/>
    <cellStyle name="Normal" xfId="0" builtinId="0" customBuiltin="1"/>
    <cellStyle name="Normal 2" xfId="11" xr:uid="{00000000-0005-0000-0000-00000B000000}"/>
    <cellStyle name="Normal 2 2 2" xfId="12" xr:uid="{00000000-0005-0000-0000-00000C000000}"/>
    <cellStyle name="Normal 3" xfId="13" xr:uid="{00000000-0005-0000-0000-00000D000000}"/>
    <cellStyle name="Normal 4" xfId="14" xr:uid="{00000000-0005-0000-0000-00000E000000}"/>
    <cellStyle name="Normal 5" xfId="45" xr:uid="{F144A177-EA5A-422A-B12D-81BBD8D58928}"/>
    <cellStyle name="Normal 6" xfId="46" xr:uid="{D043AE85-ECE4-4AF1-90BC-B547D1C5BFF2}"/>
    <cellStyle name="Normal 6 2" xfId="48" xr:uid="{FA714CE1-0DDE-40D1-A7D8-AA06115C0612}"/>
    <cellStyle name="Normal GHG Textfiels Bold" xfId="25" xr:uid="{6529E4A3-1F12-4EE2-AF31-8EBA8F7D6846}"/>
    <cellStyle name="Normal GHG-Shade" xfId="26" xr:uid="{019FA493-9ECC-446F-AA05-2673129B8C95}"/>
    <cellStyle name="Normal_KEYSOURCE_software" xfId="15" xr:uid="{00000000-0005-0000-0000-00000F000000}"/>
    <cellStyle name="Normal_Sheet1" xfId="16" xr:uid="{00000000-0005-0000-0000-000010000000}"/>
    <cellStyle name="Percent" xfId="17" builtinId="5"/>
    <cellStyle name="Result" xfId="18" xr:uid="{00000000-0005-0000-0000-000012000000}"/>
    <cellStyle name="Result2" xfId="19" xr:uid="{00000000-0005-0000-0000-000013000000}"/>
    <cellStyle name="Shade" xfId="30" xr:uid="{2EE5EF7B-772D-43F7-8D82-0BF137D1F159}"/>
    <cellStyle name="Shade_R_border" xfId="27" xr:uid="{63CD1042-D719-4561-9A58-4B2800A3A5C3}"/>
    <cellStyle name="Shade_RT_border" xfId="39" xr:uid="{48970F02-03C2-44E0-842F-16B421668048}"/>
    <cellStyle name="Shade_T_border" xfId="38" xr:uid="{A080CA7F-2AFC-4828-9CAB-D93F20B5D6CA}"/>
    <cellStyle name="TableStyleLight1" xfId="20" xr:uid="{00000000-0005-0000-0000-000014000000}"/>
    <cellStyle name="Обычный_2++" xfId="49" xr:uid="{CA27D212-BD53-4ED7-A4E9-CFAD498639DF}"/>
    <cellStyle name="Обычный_CRF2002 (1)" xfId="24" xr:uid="{7CF22F13-42AA-41F8-A0B4-346828375959}"/>
    <cellStyle name="Обычный_CRF2002 (1) 2" xfId="40" xr:uid="{143B8A6F-431B-4FD0-A93B-5777CAFC656D}"/>
    <cellStyle name="Обычный_LULUCF module - v 1.0" xfId="43" xr:uid="{95580723-7EB8-4E4D-A468-FED1CD939E05}"/>
  </cellStyles>
  <dxfs count="14">
    <dxf>
      <font>
        <color rgb="FF006100"/>
      </font>
      <fill>
        <patternFill>
          <bgColor rgb="FFC6EFCE"/>
        </patternFill>
      </fill>
    </dxf>
    <dxf>
      <font>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ill>
        <patternFill>
          <bgColor theme="9" tint="0.59996337778862885"/>
        </patternFill>
      </fill>
    </dxf>
    <dxf>
      <font>
        <color auto="1"/>
      </font>
      <fill>
        <patternFill>
          <bgColor theme="9" tint="0.59996337778862885"/>
        </patternFill>
      </fill>
    </dxf>
    <dxf>
      <font>
        <color rgb="FFFF0000"/>
      </font>
      <fill>
        <patternFill>
          <bgColor theme="9" tint="0.39994506668294322"/>
        </patternFill>
      </fill>
    </dxf>
    <dxf>
      <fill>
        <patternFill>
          <bgColor theme="9" tint="0.39994506668294322"/>
        </patternFill>
      </fill>
    </dxf>
    <dxf>
      <font>
        <condense val="0"/>
        <extend val="0"/>
        <color rgb="FF006100"/>
      </font>
      <fill>
        <patternFill>
          <bgColor rgb="FFC6EFCE"/>
        </patternFill>
      </fill>
    </dxf>
    <dxf>
      <font>
        <condense val="0"/>
        <extend val="0"/>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232655293088364"/>
          <c:y val="5.0925925925925923E-2"/>
          <c:w val="0.53645800524934384"/>
          <c:h val="0.89409667541557303"/>
        </c:manualLayout>
      </c:layout>
      <c:doughnutChart>
        <c:varyColors val="1"/>
        <c:ser>
          <c:idx val="0"/>
          <c:order val="0"/>
          <c:spPr>
            <a:ln>
              <a:solidFill>
                <a:schemeClr val="lt1">
                  <a:alpha val="94000"/>
                </a:schemeClr>
              </a:solidFill>
            </a:ln>
            <a:effectLst>
              <a:outerShdw blurRad="50800" dist="38100" dir="5400000" sx="102000" sy="102000" algn="t" rotWithShape="0">
                <a:prstClr val="black">
                  <a:alpha val="40000"/>
                </a:prstClr>
              </a:outerShdw>
            </a:effectLst>
          </c:spPr>
          <c:dPt>
            <c:idx val="0"/>
            <c:bubble3D val="0"/>
            <c:spPr>
              <a:solidFill>
                <a:schemeClr val="accent1"/>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3-145F-4E1E-970C-34CED3FBE475}"/>
              </c:ext>
            </c:extLst>
          </c:dPt>
          <c:dPt>
            <c:idx val="1"/>
            <c:bubble3D val="0"/>
            <c:spPr>
              <a:solidFill>
                <a:schemeClr val="accent2"/>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1-145F-4E1E-970C-34CED3FBE475}"/>
              </c:ext>
            </c:extLst>
          </c:dPt>
          <c:dPt>
            <c:idx val="2"/>
            <c:bubble3D val="0"/>
            <c:spPr>
              <a:solidFill>
                <a:schemeClr val="accent3"/>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2-145F-4E1E-970C-34CED3FBE475}"/>
              </c:ext>
            </c:extLst>
          </c:dPt>
          <c:dLbls>
            <c:dLbl>
              <c:idx val="0"/>
              <c:layout>
                <c:manualLayout>
                  <c:x val="0.1611111111111111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5F-4E1E-970C-34CED3FBE475}"/>
                </c:ext>
              </c:extLst>
            </c:dLbl>
            <c:dLbl>
              <c:idx val="1"/>
              <c:layout>
                <c:manualLayout>
                  <c:x val="-0.14722222222222223"/>
                  <c:y val="-2.1218890680033321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5F-4E1E-970C-34CED3FBE475}"/>
                </c:ext>
              </c:extLst>
            </c:dLbl>
            <c:dLbl>
              <c:idx val="2"/>
              <c:layout>
                <c:manualLayout>
                  <c:x val="-0.2416666666666667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45F-4E1E-970C-34CED3FBE475}"/>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LID4096"/>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RESULTADOS!$M$35:$M$37</c:f>
              <c:strCache>
                <c:ptCount val="3"/>
                <c:pt idx="0">
                  <c:v>CH4</c:v>
                </c:pt>
                <c:pt idx="1">
                  <c:v>N2O</c:v>
                </c:pt>
                <c:pt idx="2">
                  <c:v>CO2</c:v>
                </c:pt>
              </c:strCache>
            </c:strRef>
          </c:cat>
          <c:val>
            <c:numRef>
              <c:f>RESULTADOS!$N$35:$N$37</c:f>
              <c:numCache>
                <c:formatCode>#,##0</c:formatCode>
                <c:ptCount val="3"/>
                <c:pt idx="0">
                  <c:v>9435.1434220218016</c:v>
                </c:pt>
                <c:pt idx="1">
                  <c:v>2712.3961057107927</c:v>
                </c:pt>
                <c:pt idx="2">
                  <c:v>230.26766076496165</c:v>
                </c:pt>
              </c:numCache>
            </c:numRef>
          </c:val>
          <c:extLst>
            <c:ext xmlns:c16="http://schemas.microsoft.com/office/drawing/2014/chart" uri="{C3380CC4-5D6E-409C-BE32-E72D297353CC}">
              <c16:uniqueId val="{00000000-145F-4E1E-970C-34CED3FBE475}"/>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5" Type="http://schemas.openxmlformats.org/officeDocument/2006/relationships/image" Target="../media/image33.png"/><Relationship Id="rId4"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35.emf"/><Relationship Id="rId1" Type="http://schemas.openxmlformats.org/officeDocument/2006/relationships/image" Target="../media/image34.emf"/></Relationships>
</file>

<file path=xl/drawings/_rels/drawing12.xml.rels><?xml version="1.0" encoding="UTF-8" standalone="yes"?>
<Relationships xmlns="http://schemas.openxmlformats.org/package/2006/relationships"><Relationship Id="rId1" Type="http://schemas.openxmlformats.org/officeDocument/2006/relationships/image" Target="../media/image37.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9.png"/><Relationship Id="rId1" Type="http://schemas.openxmlformats.org/officeDocument/2006/relationships/image" Target="../media/image3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3.emf"/><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1</xdr:col>
      <xdr:colOff>35278</xdr:colOff>
      <xdr:row>0</xdr:row>
      <xdr:rowOff>49389</xdr:rowOff>
    </xdr:from>
    <xdr:to>
      <xdr:col>3</xdr:col>
      <xdr:colOff>1340556</xdr:colOff>
      <xdr:row>1</xdr:row>
      <xdr:rowOff>423334</xdr:rowOff>
    </xdr:to>
    <xdr:pic>
      <xdr:nvPicPr>
        <xdr:cNvPr id="2" name="Imagen 1" descr="Logotipo&#10;&#10;Descripción generada automáticamente con confianza baja">
          <a:extLst>
            <a:ext uri="{FF2B5EF4-FFF2-40B4-BE49-F238E27FC236}">
              <a16:creationId xmlns:a16="http://schemas.microsoft.com/office/drawing/2014/main" id="{1F0E28F0-5A0D-489B-9CF4-9E455F7BE78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556" y="49389"/>
          <a:ext cx="4967111" cy="55033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450850</xdr:colOff>
      <xdr:row>4</xdr:row>
      <xdr:rowOff>171450</xdr:rowOff>
    </xdr:from>
    <xdr:to>
      <xdr:col>29</xdr:col>
      <xdr:colOff>577850</xdr:colOff>
      <xdr:row>15</xdr:row>
      <xdr:rowOff>180521</xdr:rowOff>
    </xdr:to>
    <xdr:pic>
      <xdr:nvPicPr>
        <xdr:cNvPr id="475465" name="Imagen 1">
          <a:extLst>
            <a:ext uri="{FF2B5EF4-FFF2-40B4-BE49-F238E27FC236}">
              <a16:creationId xmlns:a16="http://schemas.microsoft.com/office/drawing/2014/main" id="{ABC1FD5C-72F0-507A-442F-DDF7EA7B44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59600" y="901700"/>
          <a:ext cx="5816600" cy="342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228600</xdr:colOff>
      <xdr:row>13</xdr:row>
      <xdr:rowOff>171450</xdr:rowOff>
    </xdr:from>
    <xdr:to>
      <xdr:col>27</xdr:col>
      <xdr:colOff>190500</xdr:colOff>
      <xdr:row>19</xdr:row>
      <xdr:rowOff>101600</xdr:rowOff>
    </xdr:to>
    <xdr:pic>
      <xdr:nvPicPr>
        <xdr:cNvPr id="475466" name="Imagen 2">
          <a:extLst>
            <a:ext uri="{FF2B5EF4-FFF2-40B4-BE49-F238E27FC236}">
              <a16:creationId xmlns:a16="http://schemas.microsoft.com/office/drawing/2014/main" id="{8B02B66F-3E73-F42D-8372-03E61982D4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62950" y="3771900"/>
          <a:ext cx="240030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609600</xdr:colOff>
      <xdr:row>6</xdr:row>
      <xdr:rowOff>158750</xdr:rowOff>
    </xdr:from>
    <xdr:to>
      <xdr:col>41</xdr:col>
      <xdr:colOff>609600</xdr:colOff>
      <xdr:row>13</xdr:row>
      <xdr:rowOff>12700</xdr:rowOff>
    </xdr:to>
    <xdr:pic>
      <xdr:nvPicPr>
        <xdr:cNvPr id="661546" name="Imagen 1">
          <a:extLst>
            <a:ext uri="{FF2B5EF4-FFF2-40B4-BE49-F238E27FC236}">
              <a16:creationId xmlns:a16="http://schemas.microsoft.com/office/drawing/2014/main" id="{070616B1-B2E7-38E3-EEEE-EBCE5BD351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64600" y="1428750"/>
          <a:ext cx="3987800" cy="217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39</xdr:col>
      <xdr:colOff>635000</xdr:colOff>
      <xdr:row>23</xdr:row>
      <xdr:rowOff>101600</xdr:rowOff>
    </xdr:from>
    <xdr:to>
      <xdr:col>46</xdr:col>
      <xdr:colOff>165100</xdr:colOff>
      <xdr:row>33</xdr:row>
      <xdr:rowOff>133350</xdr:rowOff>
    </xdr:to>
    <xdr:pic>
      <xdr:nvPicPr>
        <xdr:cNvPr id="661547" name="Imagen 1">
          <a:extLst>
            <a:ext uri="{FF2B5EF4-FFF2-40B4-BE49-F238E27FC236}">
              <a16:creationId xmlns:a16="http://schemas.microsoft.com/office/drawing/2014/main" id="{BEFADD5F-EA85-0D59-160B-C299C7F101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990800" y="5791200"/>
          <a:ext cx="5219700" cy="193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717550</xdr:colOff>
      <xdr:row>42</xdr:row>
      <xdr:rowOff>44450</xdr:rowOff>
    </xdr:from>
    <xdr:to>
      <xdr:col>24</xdr:col>
      <xdr:colOff>2354942</xdr:colOff>
      <xdr:row>44</xdr:row>
      <xdr:rowOff>25400</xdr:rowOff>
    </xdr:to>
    <xdr:pic>
      <xdr:nvPicPr>
        <xdr:cNvPr id="661548" name="Imagen 2">
          <a:extLst>
            <a:ext uri="{FF2B5EF4-FFF2-40B4-BE49-F238E27FC236}">
              <a16:creationId xmlns:a16="http://schemas.microsoft.com/office/drawing/2014/main" id="{4D4B427E-7A2B-5D75-470B-83F43D3FBB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11900" y="9385300"/>
          <a:ext cx="43878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39</xdr:col>
      <xdr:colOff>805543</xdr:colOff>
      <xdr:row>40</xdr:row>
      <xdr:rowOff>15420</xdr:rowOff>
    </xdr:from>
    <xdr:to>
      <xdr:col>50</xdr:col>
      <xdr:colOff>439812</xdr:colOff>
      <xdr:row>61</xdr:row>
      <xdr:rowOff>129267</xdr:rowOff>
    </xdr:to>
    <xdr:pic>
      <xdr:nvPicPr>
        <xdr:cNvPr id="520541" name="Imagen 3">
          <a:extLst>
            <a:ext uri="{FF2B5EF4-FFF2-40B4-BE49-F238E27FC236}">
              <a16:creationId xmlns:a16="http://schemas.microsoft.com/office/drawing/2014/main" id="{11179EC4-EFF5-A31D-1442-46F09885B6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40043" y="8892720"/>
          <a:ext cx="6120946" cy="4508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268967</xdr:colOff>
      <xdr:row>42</xdr:row>
      <xdr:rowOff>427264</xdr:rowOff>
    </xdr:from>
    <xdr:to>
      <xdr:col>47</xdr:col>
      <xdr:colOff>442534</xdr:colOff>
      <xdr:row>51</xdr:row>
      <xdr:rowOff>90714</xdr:rowOff>
    </xdr:to>
    <xdr:pic>
      <xdr:nvPicPr>
        <xdr:cNvPr id="520542" name="Imagen 4">
          <a:extLst>
            <a:ext uri="{FF2B5EF4-FFF2-40B4-BE49-F238E27FC236}">
              <a16:creationId xmlns:a16="http://schemas.microsoft.com/office/drawing/2014/main" id="{414F735A-3E7F-0C1C-BE46-80758806E9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69592" y="9857014"/>
          <a:ext cx="5010151"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533400</xdr:colOff>
      <xdr:row>42</xdr:row>
      <xdr:rowOff>19050</xdr:rowOff>
    </xdr:from>
    <xdr:to>
      <xdr:col>33</xdr:col>
      <xdr:colOff>371475</xdr:colOff>
      <xdr:row>58</xdr:row>
      <xdr:rowOff>117475</xdr:rowOff>
    </xdr:to>
    <xdr:pic>
      <xdr:nvPicPr>
        <xdr:cNvPr id="520543" name="Imagen 5">
          <a:extLst>
            <a:ext uri="{FF2B5EF4-FFF2-40B4-BE49-F238E27FC236}">
              <a16:creationId xmlns:a16="http://schemas.microsoft.com/office/drawing/2014/main" id="{47315846-5CE1-AF4C-C5B6-711FB20929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218900" y="9448800"/>
          <a:ext cx="5743575" cy="325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584200</xdr:colOff>
      <xdr:row>53</xdr:row>
      <xdr:rowOff>520700</xdr:rowOff>
    </xdr:from>
    <xdr:to>
      <xdr:col>27</xdr:col>
      <xdr:colOff>457200</xdr:colOff>
      <xdr:row>66</xdr:row>
      <xdr:rowOff>63500</xdr:rowOff>
    </xdr:to>
    <xdr:pic>
      <xdr:nvPicPr>
        <xdr:cNvPr id="456419" name="Imagen 1">
          <a:extLst>
            <a:ext uri="{FF2B5EF4-FFF2-40B4-BE49-F238E27FC236}">
              <a16:creationId xmlns:a16="http://schemas.microsoft.com/office/drawing/2014/main" id="{2690C357-D5C9-519F-0CF2-21A46E30E4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49750" y="12369800"/>
          <a:ext cx="5861050" cy="231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54</xdr:row>
      <xdr:rowOff>0</xdr:rowOff>
    </xdr:from>
    <xdr:to>
      <xdr:col>21</xdr:col>
      <xdr:colOff>74083</xdr:colOff>
      <xdr:row>66</xdr:row>
      <xdr:rowOff>44450</xdr:rowOff>
    </xdr:to>
    <xdr:pic>
      <xdr:nvPicPr>
        <xdr:cNvPr id="456420" name="Imagen 1">
          <a:extLst>
            <a:ext uri="{FF2B5EF4-FFF2-40B4-BE49-F238E27FC236}">
              <a16:creationId xmlns:a16="http://schemas.microsoft.com/office/drawing/2014/main" id="{78B268B8-0D30-2162-DD1A-A4B35EB68D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79200" y="12382500"/>
          <a:ext cx="6121400" cy="227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698500</xdr:colOff>
      <xdr:row>9</xdr:row>
      <xdr:rowOff>171450</xdr:rowOff>
    </xdr:from>
    <xdr:to>
      <xdr:col>27</xdr:col>
      <xdr:colOff>647700</xdr:colOff>
      <xdr:row>24</xdr:row>
      <xdr:rowOff>127000</xdr:rowOff>
    </xdr:to>
    <xdr:pic>
      <xdr:nvPicPr>
        <xdr:cNvPr id="456421" name="Imagen 1">
          <a:extLst>
            <a:ext uri="{FF2B5EF4-FFF2-40B4-BE49-F238E27FC236}">
              <a16:creationId xmlns:a16="http://schemas.microsoft.com/office/drawing/2014/main" id="{0425B08D-6346-E02F-E2F9-340BA5A94C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164050" y="2387600"/>
          <a:ext cx="5937250" cy="36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114300</xdr:colOff>
      <xdr:row>26</xdr:row>
      <xdr:rowOff>76200</xdr:rowOff>
    </xdr:from>
    <xdr:to>
      <xdr:col>26</xdr:col>
      <xdr:colOff>781050</xdr:colOff>
      <xdr:row>28</xdr:row>
      <xdr:rowOff>31750</xdr:rowOff>
    </xdr:to>
    <xdr:pic>
      <xdr:nvPicPr>
        <xdr:cNvPr id="456422" name="Imagen 2">
          <a:extLst>
            <a:ext uri="{FF2B5EF4-FFF2-40B4-BE49-F238E27FC236}">
              <a16:creationId xmlns:a16="http://schemas.microsoft.com/office/drawing/2014/main" id="{B621D5C7-6AD3-3EA2-F5BE-DD396352152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392650" y="6394450"/>
          <a:ext cx="50292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749300</xdr:colOff>
      <xdr:row>36</xdr:row>
      <xdr:rowOff>44450</xdr:rowOff>
    </xdr:from>
    <xdr:to>
      <xdr:col>16</xdr:col>
      <xdr:colOff>774700</xdr:colOff>
      <xdr:row>54</xdr:row>
      <xdr:rowOff>19050</xdr:rowOff>
    </xdr:to>
    <xdr:pic>
      <xdr:nvPicPr>
        <xdr:cNvPr id="618556" name="Imagen 1">
          <a:extLst>
            <a:ext uri="{FF2B5EF4-FFF2-40B4-BE49-F238E27FC236}">
              <a16:creationId xmlns:a16="http://schemas.microsoft.com/office/drawing/2014/main" id="{C2C093AB-121D-C449-C70A-7999C6901E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0950" y="9080500"/>
          <a:ext cx="5581650"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55</xdr:row>
      <xdr:rowOff>0</xdr:rowOff>
    </xdr:from>
    <xdr:to>
      <xdr:col>15</xdr:col>
      <xdr:colOff>501650</xdr:colOff>
      <xdr:row>57</xdr:row>
      <xdr:rowOff>107950</xdr:rowOff>
    </xdr:to>
    <xdr:pic>
      <xdr:nvPicPr>
        <xdr:cNvPr id="618557" name="Imagen 3">
          <a:extLst>
            <a:ext uri="{FF2B5EF4-FFF2-40B4-BE49-F238E27FC236}">
              <a16:creationId xmlns:a16="http://schemas.microsoft.com/office/drawing/2014/main" id="{2C18D4AB-0A1D-4055-8D81-80979BCBA5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36200" y="12420600"/>
          <a:ext cx="44005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21</xdr:col>
      <xdr:colOff>889000</xdr:colOff>
      <xdr:row>3</xdr:row>
      <xdr:rowOff>133350</xdr:rowOff>
    </xdr:from>
    <xdr:to>
      <xdr:col>29</xdr:col>
      <xdr:colOff>127000</xdr:colOff>
      <xdr:row>9</xdr:row>
      <xdr:rowOff>95250</xdr:rowOff>
    </xdr:to>
    <xdr:pic>
      <xdr:nvPicPr>
        <xdr:cNvPr id="659486" name="Imagen 3">
          <a:extLst>
            <a:ext uri="{FF2B5EF4-FFF2-40B4-BE49-F238E27FC236}">
              <a16:creationId xmlns:a16="http://schemas.microsoft.com/office/drawing/2014/main" id="{AF7A940E-30A6-7946-5B01-DA856B166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21500" y="726017"/>
          <a:ext cx="6053666" cy="21949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38100</xdr:colOff>
      <xdr:row>7</xdr:row>
      <xdr:rowOff>63500</xdr:rowOff>
    </xdr:from>
    <xdr:to>
      <xdr:col>12</xdr:col>
      <xdr:colOff>730250</xdr:colOff>
      <xdr:row>7</xdr:row>
      <xdr:rowOff>209550</xdr:rowOff>
    </xdr:to>
    <xdr:pic>
      <xdr:nvPicPr>
        <xdr:cNvPr id="659487" name="Imagen 4">
          <a:extLst>
            <a:ext uri="{FF2B5EF4-FFF2-40B4-BE49-F238E27FC236}">
              <a16:creationId xmlns:a16="http://schemas.microsoft.com/office/drawing/2014/main" id="{D6747FA7-7980-3E22-58AD-E737ACA8BF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576050" y="2400300"/>
          <a:ext cx="692150" cy="14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63501</xdr:colOff>
      <xdr:row>29</xdr:row>
      <xdr:rowOff>169333</xdr:rowOff>
    </xdr:from>
    <xdr:to>
      <xdr:col>4</xdr:col>
      <xdr:colOff>984251</xdr:colOff>
      <xdr:row>34</xdr:row>
      <xdr:rowOff>38636</xdr:rowOff>
    </xdr:to>
    <xdr:pic>
      <xdr:nvPicPr>
        <xdr:cNvPr id="2" name="Imagen 1">
          <a:extLst>
            <a:ext uri="{FF2B5EF4-FFF2-40B4-BE49-F238E27FC236}">
              <a16:creationId xmlns:a16="http://schemas.microsoft.com/office/drawing/2014/main" id="{98BFD794-2C46-B973-FD68-7A0B52542A08}"/>
            </a:ext>
          </a:extLst>
        </xdr:cNvPr>
        <xdr:cNvPicPr>
          <a:picLocks noChangeAspect="1"/>
        </xdr:cNvPicPr>
      </xdr:nvPicPr>
      <xdr:blipFill>
        <a:blip xmlns:r="http://schemas.openxmlformats.org/officeDocument/2006/relationships" r:embed="rId1"/>
        <a:stretch>
          <a:fillRect/>
        </a:stretch>
      </xdr:blipFill>
      <xdr:spPr>
        <a:xfrm>
          <a:off x="878418" y="7577666"/>
          <a:ext cx="4402666" cy="768887"/>
        </a:xfrm>
        <a:prstGeom prst="rect">
          <a:avLst/>
        </a:prstGeom>
      </xdr:spPr>
    </xdr:pic>
    <xdr:clientData/>
  </xdr:twoCellAnchor>
  <xdr:twoCellAnchor editAs="oneCell">
    <xdr:from>
      <xdr:col>11</xdr:col>
      <xdr:colOff>52917</xdr:colOff>
      <xdr:row>30</xdr:row>
      <xdr:rowOff>84667</xdr:rowOff>
    </xdr:from>
    <xdr:to>
      <xdr:col>16</xdr:col>
      <xdr:colOff>0</xdr:colOff>
      <xdr:row>35</xdr:row>
      <xdr:rowOff>42334</xdr:rowOff>
    </xdr:to>
    <xdr:pic>
      <xdr:nvPicPr>
        <xdr:cNvPr id="3" name="Imagen 2">
          <a:extLst>
            <a:ext uri="{FF2B5EF4-FFF2-40B4-BE49-F238E27FC236}">
              <a16:creationId xmlns:a16="http://schemas.microsoft.com/office/drawing/2014/main" id="{E8AA4705-7E67-2A48-03D0-5F1709A4AD15}"/>
            </a:ext>
          </a:extLst>
        </xdr:cNvPr>
        <xdr:cNvPicPr>
          <a:picLocks noChangeAspect="1"/>
        </xdr:cNvPicPr>
      </xdr:nvPicPr>
      <xdr:blipFill>
        <a:blip xmlns:r="http://schemas.openxmlformats.org/officeDocument/2006/relationships" r:embed="rId2"/>
        <a:stretch>
          <a:fillRect/>
        </a:stretch>
      </xdr:blipFill>
      <xdr:spPr>
        <a:xfrm>
          <a:off x="10181167" y="7672917"/>
          <a:ext cx="4826000" cy="857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584200</xdr:colOff>
      <xdr:row>19</xdr:row>
      <xdr:rowOff>47414</xdr:rowOff>
    </xdr:to>
    <xdr:pic>
      <xdr:nvPicPr>
        <xdr:cNvPr id="2" name="Imagen 1">
          <a:extLst>
            <a:ext uri="{FF2B5EF4-FFF2-40B4-BE49-F238E27FC236}">
              <a16:creationId xmlns:a16="http://schemas.microsoft.com/office/drawing/2014/main" id="{BF77C6F9-8202-46CF-E723-0973AAEA639A}"/>
            </a:ext>
          </a:extLst>
        </xdr:cNvPr>
        <xdr:cNvPicPr>
          <a:picLocks noChangeAspect="1"/>
        </xdr:cNvPicPr>
      </xdr:nvPicPr>
      <xdr:blipFill>
        <a:blip xmlns:r="http://schemas.openxmlformats.org/officeDocument/2006/relationships" r:embed="rId1"/>
        <a:stretch>
          <a:fillRect/>
        </a:stretch>
      </xdr:blipFill>
      <xdr:spPr>
        <a:xfrm>
          <a:off x="0" y="1"/>
          <a:ext cx="3022600" cy="3425613"/>
        </a:xfrm>
        <a:prstGeom prst="rect">
          <a:avLst/>
        </a:prstGeom>
      </xdr:spPr>
    </xdr:pic>
    <xdr:clientData/>
  </xdr:twoCellAnchor>
  <xdr:twoCellAnchor editAs="oneCell">
    <xdr:from>
      <xdr:col>3</xdr:col>
      <xdr:colOff>558800</xdr:colOff>
      <xdr:row>0</xdr:row>
      <xdr:rowOff>9298</xdr:rowOff>
    </xdr:from>
    <xdr:to>
      <xdr:col>6</xdr:col>
      <xdr:colOff>626391</xdr:colOff>
      <xdr:row>8</xdr:row>
      <xdr:rowOff>67215</xdr:rowOff>
    </xdr:to>
    <xdr:pic>
      <xdr:nvPicPr>
        <xdr:cNvPr id="3" name="Imagen 2">
          <a:extLst>
            <a:ext uri="{FF2B5EF4-FFF2-40B4-BE49-F238E27FC236}">
              <a16:creationId xmlns:a16="http://schemas.microsoft.com/office/drawing/2014/main" id="{526F0D52-77D0-862C-B214-74382E33269B}"/>
            </a:ext>
          </a:extLst>
        </xdr:cNvPr>
        <xdr:cNvPicPr>
          <a:picLocks noChangeAspect="1"/>
        </xdr:cNvPicPr>
      </xdr:nvPicPr>
      <xdr:blipFill>
        <a:blip xmlns:r="http://schemas.openxmlformats.org/officeDocument/2006/relationships" r:embed="rId2"/>
        <a:stretch>
          <a:fillRect/>
        </a:stretch>
      </xdr:blipFill>
      <xdr:spPr>
        <a:xfrm>
          <a:off x="2997200" y="9298"/>
          <a:ext cx="2505991" cy="1480317"/>
        </a:xfrm>
        <a:prstGeom prst="rect">
          <a:avLst/>
        </a:prstGeom>
      </xdr:spPr>
    </xdr:pic>
    <xdr:clientData/>
  </xdr:twoCellAnchor>
  <xdr:twoCellAnchor editAs="oneCell">
    <xdr:from>
      <xdr:col>6</xdr:col>
      <xdr:colOff>605586</xdr:colOff>
      <xdr:row>0</xdr:row>
      <xdr:rowOff>63500</xdr:rowOff>
    </xdr:from>
    <xdr:to>
      <xdr:col>10</xdr:col>
      <xdr:colOff>99247</xdr:colOff>
      <xdr:row>18</xdr:row>
      <xdr:rowOff>153386</xdr:rowOff>
    </xdr:to>
    <xdr:pic>
      <xdr:nvPicPr>
        <xdr:cNvPr id="4" name="Imagen 3">
          <a:extLst>
            <a:ext uri="{FF2B5EF4-FFF2-40B4-BE49-F238E27FC236}">
              <a16:creationId xmlns:a16="http://schemas.microsoft.com/office/drawing/2014/main" id="{36BEDD84-31F6-B4E3-EC61-7310101BD0EB}"/>
            </a:ext>
          </a:extLst>
        </xdr:cNvPr>
        <xdr:cNvPicPr>
          <a:picLocks noChangeAspect="1"/>
        </xdr:cNvPicPr>
      </xdr:nvPicPr>
      <xdr:blipFill>
        <a:blip xmlns:r="http://schemas.openxmlformats.org/officeDocument/2006/relationships" r:embed="rId3"/>
        <a:stretch>
          <a:fillRect/>
        </a:stretch>
      </xdr:blipFill>
      <xdr:spPr>
        <a:xfrm>
          <a:off x="5482386" y="63500"/>
          <a:ext cx="2744861" cy="3290286"/>
        </a:xfrm>
        <a:prstGeom prst="rect">
          <a:avLst/>
        </a:prstGeom>
      </xdr:spPr>
    </xdr:pic>
    <xdr:clientData/>
  </xdr:twoCellAnchor>
  <xdr:twoCellAnchor editAs="oneCell">
    <xdr:from>
      <xdr:col>3</xdr:col>
      <xdr:colOff>609599</xdr:colOff>
      <xdr:row>8</xdr:row>
      <xdr:rowOff>57150</xdr:rowOff>
    </xdr:from>
    <xdr:to>
      <xdr:col>6</xdr:col>
      <xdr:colOff>470862</xdr:colOff>
      <xdr:row>19</xdr:row>
      <xdr:rowOff>61060</xdr:rowOff>
    </xdr:to>
    <xdr:pic>
      <xdr:nvPicPr>
        <xdr:cNvPr id="5" name="Imagen 4">
          <a:extLst>
            <a:ext uri="{FF2B5EF4-FFF2-40B4-BE49-F238E27FC236}">
              <a16:creationId xmlns:a16="http://schemas.microsoft.com/office/drawing/2014/main" id="{B295FDBF-B614-BFC2-D143-A8586AA68F37}"/>
            </a:ext>
          </a:extLst>
        </xdr:cNvPr>
        <xdr:cNvPicPr>
          <a:picLocks noChangeAspect="1"/>
        </xdr:cNvPicPr>
      </xdr:nvPicPr>
      <xdr:blipFill>
        <a:blip xmlns:r="http://schemas.openxmlformats.org/officeDocument/2006/relationships" r:embed="rId4"/>
        <a:stretch>
          <a:fillRect/>
        </a:stretch>
      </xdr:blipFill>
      <xdr:spPr>
        <a:xfrm>
          <a:off x="3047999" y="1479550"/>
          <a:ext cx="2299663" cy="1959710"/>
        </a:xfrm>
        <a:prstGeom prst="rect">
          <a:avLst/>
        </a:prstGeom>
      </xdr:spPr>
    </xdr:pic>
    <xdr:clientData/>
  </xdr:twoCellAnchor>
  <xdr:twoCellAnchor editAs="oneCell">
    <xdr:from>
      <xdr:col>0</xdr:col>
      <xdr:colOff>1</xdr:colOff>
      <xdr:row>20</xdr:row>
      <xdr:rowOff>0</xdr:rowOff>
    </xdr:from>
    <xdr:to>
      <xdr:col>5</xdr:col>
      <xdr:colOff>6351</xdr:colOff>
      <xdr:row>32</xdr:row>
      <xdr:rowOff>63500</xdr:rowOff>
    </xdr:to>
    <xdr:pic>
      <xdr:nvPicPr>
        <xdr:cNvPr id="6" name="Imagen 5">
          <a:extLst>
            <a:ext uri="{FF2B5EF4-FFF2-40B4-BE49-F238E27FC236}">
              <a16:creationId xmlns:a16="http://schemas.microsoft.com/office/drawing/2014/main" id="{BA840E0A-8B94-AF39-82CA-14876F66A0EC}"/>
            </a:ext>
          </a:extLst>
        </xdr:cNvPr>
        <xdr:cNvPicPr>
          <a:picLocks noChangeAspect="1"/>
        </xdr:cNvPicPr>
      </xdr:nvPicPr>
      <xdr:blipFill>
        <a:blip xmlns:r="http://schemas.openxmlformats.org/officeDocument/2006/relationships" r:embed="rId5"/>
        <a:stretch>
          <a:fillRect/>
        </a:stretch>
      </xdr:blipFill>
      <xdr:spPr>
        <a:xfrm>
          <a:off x="1" y="3556000"/>
          <a:ext cx="4070350" cy="2197100"/>
        </a:xfrm>
        <a:prstGeom prst="rect">
          <a:avLst/>
        </a:prstGeom>
      </xdr:spPr>
    </xdr:pic>
    <xdr:clientData/>
  </xdr:twoCellAnchor>
  <xdr:twoCellAnchor editAs="oneCell">
    <xdr:from>
      <xdr:col>5</xdr:col>
      <xdr:colOff>114300</xdr:colOff>
      <xdr:row>20</xdr:row>
      <xdr:rowOff>95250</xdr:rowOff>
    </xdr:from>
    <xdr:to>
      <xdr:col>9</xdr:col>
      <xdr:colOff>350372</xdr:colOff>
      <xdr:row>23</xdr:row>
      <xdr:rowOff>3957</xdr:rowOff>
    </xdr:to>
    <xdr:pic>
      <xdr:nvPicPr>
        <xdr:cNvPr id="7" name="Imagen 6">
          <a:extLst>
            <a:ext uri="{FF2B5EF4-FFF2-40B4-BE49-F238E27FC236}">
              <a16:creationId xmlns:a16="http://schemas.microsoft.com/office/drawing/2014/main" id="{F77596A9-580D-080F-3371-90DD2AE592F8}"/>
            </a:ext>
          </a:extLst>
        </xdr:cNvPr>
        <xdr:cNvPicPr>
          <a:picLocks noChangeAspect="1"/>
        </xdr:cNvPicPr>
      </xdr:nvPicPr>
      <xdr:blipFill>
        <a:blip xmlns:r="http://schemas.openxmlformats.org/officeDocument/2006/relationships" r:embed="rId6"/>
        <a:stretch>
          <a:fillRect/>
        </a:stretch>
      </xdr:blipFill>
      <xdr:spPr>
        <a:xfrm>
          <a:off x="4178300" y="3651250"/>
          <a:ext cx="3487272" cy="442107"/>
        </a:xfrm>
        <a:prstGeom prst="rect">
          <a:avLst/>
        </a:prstGeom>
      </xdr:spPr>
    </xdr:pic>
    <xdr:clientData/>
  </xdr:twoCellAnchor>
  <xdr:twoCellAnchor editAs="oneCell">
    <xdr:from>
      <xdr:col>5</xdr:col>
      <xdr:colOff>95250</xdr:colOff>
      <xdr:row>23</xdr:row>
      <xdr:rowOff>154602</xdr:rowOff>
    </xdr:from>
    <xdr:to>
      <xdr:col>9</xdr:col>
      <xdr:colOff>336550</xdr:colOff>
      <xdr:row>25</xdr:row>
      <xdr:rowOff>151703</xdr:rowOff>
    </xdr:to>
    <xdr:pic>
      <xdr:nvPicPr>
        <xdr:cNvPr id="9" name="Imagen 8">
          <a:extLst>
            <a:ext uri="{FF2B5EF4-FFF2-40B4-BE49-F238E27FC236}">
              <a16:creationId xmlns:a16="http://schemas.microsoft.com/office/drawing/2014/main" id="{08CB4059-7678-DF42-8AC2-2BC70158CD0E}"/>
            </a:ext>
          </a:extLst>
        </xdr:cNvPr>
        <xdr:cNvPicPr>
          <a:picLocks noChangeAspect="1"/>
        </xdr:cNvPicPr>
      </xdr:nvPicPr>
      <xdr:blipFill>
        <a:blip xmlns:r="http://schemas.openxmlformats.org/officeDocument/2006/relationships" r:embed="rId7"/>
        <a:stretch>
          <a:fillRect/>
        </a:stretch>
      </xdr:blipFill>
      <xdr:spPr>
        <a:xfrm>
          <a:off x="4159250" y="4244002"/>
          <a:ext cx="3492500" cy="352701"/>
        </a:xfrm>
        <a:prstGeom prst="rect">
          <a:avLst/>
        </a:prstGeom>
      </xdr:spPr>
    </xdr:pic>
    <xdr:clientData/>
  </xdr:twoCellAnchor>
  <xdr:twoCellAnchor editAs="oneCell">
    <xdr:from>
      <xdr:col>5</xdr:col>
      <xdr:colOff>88710</xdr:colOff>
      <xdr:row>26</xdr:row>
      <xdr:rowOff>50800</xdr:rowOff>
    </xdr:from>
    <xdr:to>
      <xdr:col>9</xdr:col>
      <xdr:colOff>69850</xdr:colOff>
      <xdr:row>28</xdr:row>
      <xdr:rowOff>143100</xdr:rowOff>
    </xdr:to>
    <xdr:pic>
      <xdr:nvPicPr>
        <xdr:cNvPr id="10" name="Imagen 9">
          <a:extLst>
            <a:ext uri="{FF2B5EF4-FFF2-40B4-BE49-F238E27FC236}">
              <a16:creationId xmlns:a16="http://schemas.microsoft.com/office/drawing/2014/main" id="{B6D0A959-837A-F477-80E7-56E6279826FA}"/>
            </a:ext>
          </a:extLst>
        </xdr:cNvPr>
        <xdr:cNvPicPr>
          <a:picLocks noChangeAspect="1"/>
        </xdr:cNvPicPr>
      </xdr:nvPicPr>
      <xdr:blipFill>
        <a:blip xmlns:r="http://schemas.openxmlformats.org/officeDocument/2006/relationships" r:embed="rId8"/>
        <a:stretch>
          <a:fillRect/>
        </a:stretch>
      </xdr:blipFill>
      <xdr:spPr>
        <a:xfrm>
          <a:off x="4152710" y="4673600"/>
          <a:ext cx="3232340" cy="447900"/>
        </a:xfrm>
        <a:prstGeom prst="rect">
          <a:avLst/>
        </a:prstGeom>
      </xdr:spPr>
    </xdr:pic>
    <xdr:clientData/>
  </xdr:twoCellAnchor>
  <xdr:twoCellAnchor editAs="oneCell">
    <xdr:from>
      <xdr:col>9</xdr:col>
      <xdr:colOff>400050</xdr:colOff>
      <xdr:row>19</xdr:row>
      <xdr:rowOff>168134</xdr:rowOff>
    </xdr:from>
    <xdr:to>
      <xdr:col>12</xdr:col>
      <xdr:colOff>571499</xdr:colOff>
      <xdr:row>24</xdr:row>
      <xdr:rowOff>120650</xdr:rowOff>
    </xdr:to>
    <xdr:pic>
      <xdr:nvPicPr>
        <xdr:cNvPr id="11" name="Imagen 10">
          <a:extLst>
            <a:ext uri="{FF2B5EF4-FFF2-40B4-BE49-F238E27FC236}">
              <a16:creationId xmlns:a16="http://schemas.microsoft.com/office/drawing/2014/main" id="{46A35B6B-DC6B-D20C-D277-D4A32E88279C}"/>
            </a:ext>
          </a:extLst>
        </xdr:cNvPr>
        <xdr:cNvPicPr>
          <a:picLocks noChangeAspect="1"/>
        </xdr:cNvPicPr>
      </xdr:nvPicPr>
      <xdr:blipFill>
        <a:blip xmlns:r="http://schemas.openxmlformats.org/officeDocument/2006/relationships" r:embed="rId9"/>
        <a:stretch>
          <a:fillRect/>
        </a:stretch>
      </xdr:blipFill>
      <xdr:spPr>
        <a:xfrm>
          <a:off x="7715250" y="3546334"/>
          <a:ext cx="2609849" cy="841516"/>
        </a:xfrm>
        <a:prstGeom prst="rect">
          <a:avLst/>
        </a:prstGeom>
      </xdr:spPr>
    </xdr:pic>
    <xdr:clientData/>
  </xdr:twoCellAnchor>
  <xdr:twoCellAnchor editAs="oneCell">
    <xdr:from>
      <xdr:col>9</xdr:col>
      <xdr:colOff>393700</xdr:colOff>
      <xdr:row>25</xdr:row>
      <xdr:rowOff>67320</xdr:rowOff>
    </xdr:from>
    <xdr:to>
      <xdr:col>12</xdr:col>
      <xdr:colOff>584200</xdr:colOff>
      <xdr:row>29</xdr:row>
      <xdr:rowOff>313</xdr:rowOff>
    </xdr:to>
    <xdr:pic>
      <xdr:nvPicPr>
        <xdr:cNvPr id="12" name="Imagen 11">
          <a:extLst>
            <a:ext uri="{FF2B5EF4-FFF2-40B4-BE49-F238E27FC236}">
              <a16:creationId xmlns:a16="http://schemas.microsoft.com/office/drawing/2014/main" id="{3AEC2E82-7D5D-6048-C391-53DBA3A2AE65}"/>
            </a:ext>
          </a:extLst>
        </xdr:cNvPr>
        <xdr:cNvPicPr>
          <a:picLocks noChangeAspect="1"/>
        </xdr:cNvPicPr>
      </xdr:nvPicPr>
      <xdr:blipFill>
        <a:blip xmlns:r="http://schemas.openxmlformats.org/officeDocument/2006/relationships" r:embed="rId10"/>
        <a:stretch>
          <a:fillRect/>
        </a:stretch>
      </xdr:blipFill>
      <xdr:spPr>
        <a:xfrm>
          <a:off x="7708900" y="4512320"/>
          <a:ext cx="2628900" cy="6441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127000</xdr:colOff>
      <xdr:row>2</xdr:row>
      <xdr:rowOff>63147</xdr:rowOff>
    </xdr:from>
    <xdr:to>
      <xdr:col>27</xdr:col>
      <xdr:colOff>555837</xdr:colOff>
      <xdr:row>20</xdr:row>
      <xdr:rowOff>51708</xdr:rowOff>
    </xdr:to>
    <xdr:pic>
      <xdr:nvPicPr>
        <xdr:cNvPr id="2" name="Imagen 1">
          <a:extLst>
            <a:ext uri="{FF2B5EF4-FFF2-40B4-BE49-F238E27FC236}">
              <a16:creationId xmlns:a16="http://schemas.microsoft.com/office/drawing/2014/main" id="{91ABD6B6-87EE-BA50-01CC-980C83D0D483}"/>
            </a:ext>
          </a:extLst>
        </xdr:cNvPr>
        <xdr:cNvPicPr>
          <a:picLocks noChangeAspect="1"/>
        </xdr:cNvPicPr>
      </xdr:nvPicPr>
      <xdr:blipFill>
        <a:blip xmlns:r="http://schemas.openxmlformats.org/officeDocument/2006/relationships" r:embed="rId1"/>
        <a:stretch>
          <a:fillRect/>
        </a:stretch>
      </xdr:blipFill>
      <xdr:spPr>
        <a:xfrm>
          <a:off x="14859000" y="401814"/>
          <a:ext cx="5339504" cy="3809144"/>
        </a:xfrm>
        <a:prstGeom prst="rect">
          <a:avLst/>
        </a:prstGeom>
      </xdr:spPr>
    </xdr:pic>
    <xdr:clientData/>
  </xdr:twoCellAnchor>
  <xdr:twoCellAnchor editAs="oneCell">
    <xdr:from>
      <xdr:col>14</xdr:col>
      <xdr:colOff>0</xdr:colOff>
      <xdr:row>23</xdr:row>
      <xdr:rowOff>0</xdr:rowOff>
    </xdr:from>
    <xdr:to>
      <xdr:col>26</xdr:col>
      <xdr:colOff>403795</xdr:colOff>
      <xdr:row>59</xdr:row>
      <xdr:rowOff>119863</xdr:rowOff>
    </xdr:to>
    <xdr:pic>
      <xdr:nvPicPr>
        <xdr:cNvPr id="3" name="Imagen 2">
          <a:extLst>
            <a:ext uri="{FF2B5EF4-FFF2-40B4-BE49-F238E27FC236}">
              <a16:creationId xmlns:a16="http://schemas.microsoft.com/office/drawing/2014/main" id="{13139A37-805B-9039-46AE-E83BD09FD7A1}"/>
            </a:ext>
          </a:extLst>
        </xdr:cNvPr>
        <xdr:cNvPicPr>
          <a:picLocks noChangeAspect="1"/>
        </xdr:cNvPicPr>
      </xdr:nvPicPr>
      <xdr:blipFill>
        <a:blip xmlns:r="http://schemas.openxmlformats.org/officeDocument/2006/relationships" r:embed="rId2"/>
        <a:stretch>
          <a:fillRect/>
        </a:stretch>
      </xdr:blipFill>
      <xdr:spPr>
        <a:xfrm>
          <a:off x="15345833" y="4688417"/>
          <a:ext cx="4086795" cy="6277851"/>
        </a:xfrm>
        <a:prstGeom prst="rect">
          <a:avLst/>
        </a:prstGeom>
      </xdr:spPr>
    </xdr:pic>
    <xdr:clientData/>
  </xdr:twoCellAnchor>
  <xdr:twoCellAnchor editAs="oneCell">
    <xdr:from>
      <xdr:col>0</xdr:col>
      <xdr:colOff>707571</xdr:colOff>
      <xdr:row>60</xdr:row>
      <xdr:rowOff>145143</xdr:rowOff>
    </xdr:from>
    <xdr:to>
      <xdr:col>3</xdr:col>
      <xdr:colOff>739888</xdr:colOff>
      <xdr:row>67</xdr:row>
      <xdr:rowOff>36286</xdr:rowOff>
    </xdr:to>
    <xdr:pic>
      <xdr:nvPicPr>
        <xdr:cNvPr id="4" name="Imagen 3">
          <a:extLst>
            <a:ext uri="{FF2B5EF4-FFF2-40B4-BE49-F238E27FC236}">
              <a16:creationId xmlns:a16="http://schemas.microsoft.com/office/drawing/2014/main" id="{48408C2D-F1CC-83FC-C361-B277A4B60CBC}"/>
            </a:ext>
          </a:extLst>
        </xdr:cNvPr>
        <xdr:cNvPicPr>
          <a:picLocks noChangeAspect="1"/>
        </xdr:cNvPicPr>
      </xdr:nvPicPr>
      <xdr:blipFill>
        <a:blip xmlns:r="http://schemas.openxmlformats.org/officeDocument/2006/relationships" r:embed="rId3"/>
        <a:stretch>
          <a:fillRect/>
        </a:stretch>
      </xdr:blipFill>
      <xdr:spPr>
        <a:xfrm>
          <a:off x="707571" y="11039929"/>
          <a:ext cx="3134746" cy="1034143"/>
        </a:xfrm>
        <a:prstGeom prst="rect">
          <a:avLst/>
        </a:prstGeom>
      </xdr:spPr>
    </xdr:pic>
    <xdr:clientData/>
  </xdr:twoCellAnchor>
  <xdr:twoCellAnchor editAs="oneCell">
    <xdr:from>
      <xdr:col>1</xdr:col>
      <xdr:colOff>0</xdr:colOff>
      <xdr:row>68</xdr:row>
      <xdr:rowOff>0</xdr:rowOff>
    </xdr:from>
    <xdr:to>
      <xdr:col>3</xdr:col>
      <xdr:colOff>716642</xdr:colOff>
      <xdr:row>74</xdr:row>
      <xdr:rowOff>133197</xdr:rowOff>
    </xdr:to>
    <xdr:pic>
      <xdr:nvPicPr>
        <xdr:cNvPr id="5" name="Imagen 4">
          <a:extLst>
            <a:ext uri="{FF2B5EF4-FFF2-40B4-BE49-F238E27FC236}">
              <a16:creationId xmlns:a16="http://schemas.microsoft.com/office/drawing/2014/main" id="{9A82FC99-18E2-CAD0-B344-8EA78A8C9F20}"/>
            </a:ext>
          </a:extLst>
        </xdr:cNvPr>
        <xdr:cNvPicPr>
          <a:picLocks noChangeAspect="1"/>
        </xdr:cNvPicPr>
      </xdr:nvPicPr>
      <xdr:blipFill>
        <a:blip xmlns:r="http://schemas.openxmlformats.org/officeDocument/2006/relationships" r:embed="rId4"/>
        <a:stretch>
          <a:fillRect/>
        </a:stretch>
      </xdr:blipFill>
      <xdr:spPr>
        <a:xfrm>
          <a:off x="762000" y="12201071"/>
          <a:ext cx="3057071" cy="1112911"/>
        </a:xfrm>
        <a:prstGeom prst="rect">
          <a:avLst/>
        </a:prstGeom>
      </xdr:spPr>
    </xdr:pic>
    <xdr:clientData/>
  </xdr:twoCellAnchor>
  <xdr:twoCellAnchor editAs="oneCell">
    <xdr:from>
      <xdr:col>12</xdr:col>
      <xdr:colOff>0</xdr:colOff>
      <xdr:row>61</xdr:row>
      <xdr:rowOff>1</xdr:rowOff>
    </xdr:from>
    <xdr:to>
      <xdr:col>22</xdr:col>
      <xdr:colOff>260807</xdr:colOff>
      <xdr:row>65</xdr:row>
      <xdr:rowOff>90716</xdr:rowOff>
    </xdr:to>
    <xdr:pic>
      <xdr:nvPicPr>
        <xdr:cNvPr id="6" name="Imagen 5">
          <a:extLst>
            <a:ext uri="{FF2B5EF4-FFF2-40B4-BE49-F238E27FC236}">
              <a16:creationId xmlns:a16="http://schemas.microsoft.com/office/drawing/2014/main" id="{F720121F-7DEC-E8C6-4704-A23C2F4A1FBE}"/>
            </a:ext>
          </a:extLst>
        </xdr:cNvPr>
        <xdr:cNvPicPr>
          <a:picLocks noChangeAspect="1"/>
        </xdr:cNvPicPr>
      </xdr:nvPicPr>
      <xdr:blipFill>
        <a:blip xmlns:r="http://schemas.openxmlformats.org/officeDocument/2006/relationships" r:embed="rId5"/>
        <a:stretch>
          <a:fillRect/>
        </a:stretch>
      </xdr:blipFill>
      <xdr:spPr>
        <a:xfrm>
          <a:off x="15412357" y="11058072"/>
          <a:ext cx="3254379" cy="7438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26</xdr:col>
      <xdr:colOff>196850</xdr:colOff>
      <xdr:row>72</xdr:row>
      <xdr:rowOff>196850</xdr:rowOff>
    </xdr:from>
    <xdr:to>
      <xdr:col>31</xdr:col>
      <xdr:colOff>196849</xdr:colOff>
      <xdr:row>95</xdr:row>
      <xdr:rowOff>177800</xdr:rowOff>
    </xdr:to>
    <xdr:pic>
      <xdr:nvPicPr>
        <xdr:cNvPr id="662570" name="Imagen 1">
          <a:extLst>
            <a:ext uri="{FF2B5EF4-FFF2-40B4-BE49-F238E27FC236}">
              <a16:creationId xmlns:a16="http://schemas.microsoft.com/office/drawing/2014/main" id="{5974FDDD-E009-3D28-59E7-57674CB98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60550" y="16560800"/>
          <a:ext cx="4064000" cy="494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139700</xdr:colOff>
      <xdr:row>98</xdr:row>
      <xdr:rowOff>31750</xdr:rowOff>
    </xdr:from>
    <xdr:to>
      <xdr:col>31</xdr:col>
      <xdr:colOff>279399</xdr:colOff>
      <xdr:row>113</xdr:row>
      <xdr:rowOff>63500</xdr:rowOff>
    </xdr:to>
    <xdr:pic>
      <xdr:nvPicPr>
        <xdr:cNvPr id="662571" name="Imagen 2">
          <a:extLst>
            <a:ext uri="{FF2B5EF4-FFF2-40B4-BE49-F238E27FC236}">
              <a16:creationId xmlns:a16="http://schemas.microsoft.com/office/drawing/2014/main" id="{6F773010-7E6B-4957-74B4-155952216B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03400" y="21996400"/>
          <a:ext cx="4203700" cy="339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196850</xdr:colOff>
      <xdr:row>113</xdr:row>
      <xdr:rowOff>292100</xdr:rowOff>
    </xdr:from>
    <xdr:to>
      <xdr:col>31</xdr:col>
      <xdr:colOff>158749</xdr:colOff>
      <xdr:row>123</xdr:row>
      <xdr:rowOff>127000</xdr:rowOff>
    </xdr:to>
    <xdr:pic>
      <xdr:nvPicPr>
        <xdr:cNvPr id="662572" name="Imagen 3">
          <a:extLst>
            <a:ext uri="{FF2B5EF4-FFF2-40B4-BE49-F238E27FC236}">
              <a16:creationId xmlns:a16="http://schemas.microsoft.com/office/drawing/2014/main" id="{5632062B-9410-DD39-1BAA-FE3E524F59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260550" y="25622250"/>
          <a:ext cx="40259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280232" name="1 Imagen">
          <a:extLst>
            <a:ext uri="{FF2B5EF4-FFF2-40B4-BE49-F238E27FC236}">
              <a16:creationId xmlns:a16="http://schemas.microsoft.com/office/drawing/2014/main" id="{B0A08B11-3B0C-4081-F48C-0768DAA6A8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4</xdr:col>
      <xdr:colOff>550334</xdr:colOff>
      <xdr:row>81</xdr:row>
      <xdr:rowOff>169904</xdr:rowOff>
    </xdr:to>
    <xdr:pic>
      <xdr:nvPicPr>
        <xdr:cNvPr id="2" name="Imagen 1">
          <a:extLst>
            <a:ext uri="{FF2B5EF4-FFF2-40B4-BE49-F238E27FC236}">
              <a16:creationId xmlns:a16="http://schemas.microsoft.com/office/drawing/2014/main" id="{69931BF8-BDDC-722D-F513-A7C09C572E38}"/>
            </a:ext>
          </a:extLst>
        </xdr:cNvPr>
        <xdr:cNvPicPr>
          <a:picLocks noChangeAspect="1"/>
        </xdr:cNvPicPr>
      </xdr:nvPicPr>
      <xdr:blipFill>
        <a:blip xmlns:r="http://schemas.openxmlformats.org/officeDocument/2006/relationships" r:embed="rId1"/>
        <a:stretch>
          <a:fillRect/>
        </a:stretch>
      </xdr:blipFill>
      <xdr:spPr>
        <a:xfrm>
          <a:off x="814917" y="15504583"/>
          <a:ext cx="5111750" cy="1979654"/>
        </a:xfrm>
        <a:prstGeom prst="rect">
          <a:avLst/>
        </a:prstGeom>
      </xdr:spPr>
    </xdr:pic>
    <xdr:clientData/>
  </xdr:twoCellAnchor>
  <xdr:twoCellAnchor editAs="oneCell">
    <xdr:from>
      <xdr:col>1</xdr:col>
      <xdr:colOff>0</xdr:colOff>
      <xdr:row>83</xdr:row>
      <xdr:rowOff>0</xdr:rowOff>
    </xdr:from>
    <xdr:to>
      <xdr:col>4</xdr:col>
      <xdr:colOff>253644</xdr:colOff>
      <xdr:row>91</xdr:row>
      <xdr:rowOff>74083</xdr:rowOff>
    </xdr:to>
    <xdr:pic>
      <xdr:nvPicPr>
        <xdr:cNvPr id="3" name="Imagen 2">
          <a:extLst>
            <a:ext uri="{FF2B5EF4-FFF2-40B4-BE49-F238E27FC236}">
              <a16:creationId xmlns:a16="http://schemas.microsoft.com/office/drawing/2014/main" id="{3553DEFA-333E-CEDE-1E4C-3C3865530FAB}"/>
            </a:ext>
          </a:extLst>
        </xdr:cNvPr>
        <xdr:cNvPicPr>
          <a:picLocks noChangeAspect="1"/>
        </xdr:cNvPicPr>
      </xdr:nvPicPr>
      <xdr:blipFill>
        <a:blip xmlns:r="http://schemas.openxmlformats.org/officeDocument/2006/relationships" r:embed="rId2"/>
        <a:stretch>
          <a:fillRect/>
        </a:stretch>
      </xdr:blipFill>
      <xdr:spPr>
        <a:xfrm>
          <a:off x="814917" y="17917583"/>
          <a:ext cx="4815060" cy="1682750"/>
        </a:xfrm>
        <a:prstGeom prst="rect">
          <a:avLst/>
        </a:prstGeom>
      </xdr:spPr>
    </xdr:pic>
    <xdr:clientData/>
  </xdr:twoCellAnchor>
  <xdr:twoCellAnchor>
    <xdr:from>
      <xdr:col>20</xdr:col>
      <xdr:colOff>42333</xdr:colOff>
      <xdr:row>30</xdr:row>
      <xdr:rowOff>14816</xdr:rowOff>
    </xdr:from>
    <xdr:to>
      <xdr:col>26</xdr:col>
      <xdr:colOff>560917</xdr:colOff>
      <xdr:row>42</xdr:row>
      <xdr:rowOff>21167</xdr:rowOff>
    </xdr:to>
    <xdr:graphicFrame macro="">
      <xdr:nvGraphicFramePr>
        <xdr:cNvPr id="4" name="Gráfico 3">
          <a:extLst>
            <a:ext uri="{FF2B5EF4-FFF2-40B4-BE49-F238E27FC236}">
              <a16:creationId xmlns:a16="http://schemas.microsoft.com/office/drawing/2014/main" id="{828C114E-F40E-E745-CAE9-38A0A23FA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12</xdr:col>
      <xdr:colOff>95251</xdr:colOff>
      <xdr:row>0</xdr:row>
      <xdr:rowOff>0</xdr:rowOff>
    </xdr:from>
    <xdr:to>
      <xdr:col>15</xdr:col>
      <xdr:colOff>2924965</xdr:colOff>
      <xdr:row>5</xdr:row>
      <xdr:rowOff>846667</xdr:rowOff>
    </xdr:to>
    <xdr:pic>
      <xdr:nvPicPr>
        <xdr:cNvPr id="4" name="Imagen 3">
          <a:extLst>
            <a:ext uri="{FF2B5EF4-FFF2-40B4-BE49-F238E27FC236}">
              <a16:creationId xmlns:a16="http://schemas.microsoft.com/office/drawing/2014/main" id="{53C1D518-4CC3-0F95-4176-696DA58E1A2D}"/>
            </a:ext>
          </a:extLst>
        </xdr:cNvPr>
        <xdr:cNvPicPr>
          <a:picLocks noChangeAspect="1"/>
        </xdr:cNvPicPr>
      </xdr:nvPicPr>
      <xdr:blipFill>
        <a:blip xmlns:r="http://schemas.openxmlformats.org/officeDocument/2006/relationships" r:embed="rId1"/>
        <a:stretch>
          <a:fillRect/>
        </a:stretch>
      </xdr:blipFill>
      <xdr:spPr>
        <a:xfrm>
          <a:off x="836084" y="0"/>
          <a:ext cx="5115714" cy="2338917"/>
        </a:xfrm>
        <a:prstGeom prst="rect">
          <a:avLst/>
        </a:prstGeom>
      </xdr:spPr>
    </xdr:pic>
    <xdr:clientData/>
  </xdr:twoCellAnchor>
  <xdr:twoCellAnchor editAs="oneCell">
    <xdr:from>
      <xdr:col>15</xdr:col>
      <xdr:colOff>2741083</xdr:colOff>
      <xdr:row>0</xdr:row>
      <xdr:rowOff>1</xdr:rowOff>
    </xdr:from>
    <xdr:to>
      <xdr:col>20</xdr:col>
      <xdr:colOff>254000</xdr:colOff>
      <xdr:row>5</xdr:row>
      <xdr:rowOff>877995</xdr:rowOff>
    </xdr:to>
    <xdr:pic>
      <xdr:nvPicPr>
        <xdr:cNvPr id="5" name="Imagen 4">
          <a:extLst>
            <a:ext uri="{FF2B5EF4-FFF2-40B4-BE49-F238E27FC236}">
              <a16:creationId xmlns:a16="http://schemas.microsoft.com/office/drawing/2014/main" id="{D17DB343-5230-B68C-0165-25ECBC525109}"/>
            </a:ext>
          </a:extLst>
        </xdr:cNvPr>
        <xdr:cNvPicPr>
          <a:picLocks noChangeAspect="1"/>
        </xdr:cNvPicPr>
      </xdr:nvPicPr>
      <xdr:blipFill>
        <a:blip xmlns:r="http://schemas.openxmlformats.org/officeDocument/2006/relationships" r:embed="rId2"/>
        <a:stretch>
          <a:fillRect/>
        </a:stretch>
      </xdr:blipFill>
      <xdr:spPr>
        <a:xfrm>
          <a:off x="5767916" y="1"/>
          <a:ext cx="4773084" cy="23702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131027</xdr:colOff>
      <xdr:row>57</xdr:row>
      <xdr:rowOff>59054</xdr:rowOff>
    </xdr:from>
    <xdr:to>
      <xdr:col>9</xdr:col>
      <xdr:colOff>1234109</xdr:colOff>
      <xdr:row>69</xdr:row>
      <xdr:rowOff>136994</xdr:rowOff>
    </xdr:to>
    <xdr:sp macro="" textlink="">
      <xdr:nvSpPr>
        <xdr:cNvPr id="2" name="TextBox 1">
          <a:extLst>
            <a:ext uri="{FF2B5EF4-FFF2-40B4-BE49-F238E27FC236}">
              <a16:creationId xmlns:a16="http://schemas.microsoft.com/office/drawing/2014/main" id="{484077BC-57BA-46BE-B5C8-935524CE336D}"/>
            </a:ext>
          </a:extLst>
        </xdr:cNvPr>
        <xdr:cNvSpPr txBox="1"/>
      </xdr:nvSpPr>
      <xdr:spPr>
        <a:xfrm>
          <a:off x="124677" y="12276454"/>
          <a:ext cx="13669732" cy="190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sum for cattle is calculated on the basis of entries made under either option A (dairy and non-dairy cattle)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or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(other disaggregation of cattle categories).</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 10.5).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0.5). </a:t>
          </a:r>
          <a:r>
            <a:rPr lang="en-US" sz="1000" b="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b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2006 IPCC Guidelines do not provide methodologies for calculating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and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removals from agricultural soils or for calculating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the prescribed burning of savannahs and field burning of agricultural residues. Parties that have estimated such emissions should provide in the NID the additional information (AD and EFs) used to derive these estimates and include in the documentation box</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of the corresponding sectoral background data tables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 reference to the relevant section of the NID.</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xdr:col>
      <xdr:colOff>0</xdr:colOff>
      <xdr:row>70</xdr:row>
      <xdr:rowOff>152400</xdr:rowOff>
    </xdr:from>
    <xdr:to>
      <xdr:col>9</xdr:col>
      <xdr:colOff>1143000</xdr:colOff>
      <xdr:row>75</xdr:row>
      <xdr:rowOff>124460</xdr:rowOff>
    </xdr:to>
    <xdr:sp macro="" textlink="">
      <xdr:nvSpPr>
        <xdr:cNvPr id="3" name="TextBox 2">
          <a:extLst>
            <a:ext uri="{FF2B5EF4-FFF2-40B4-BE49-F238E27FC236}">
              <a16:creationId xmlns:a16="http://schemas.microsoft.com/office/drawing/2014/main" id="{48690667-B618-4151-8B7D-225D074C9ADE}"/>
            </a:ext>
          </a:extLst>
        </xdr:cNvPr>
        <xdr:cNvSpPr txBox="1"/>
      </xdr:nvSpPr>
      <xdr:spPr>
        <a:xfrm>
          <a:off x="127000" y="14351000"/>
          <a:ext cx="13576300" cy="73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estimates are reported for category 3.J Other,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this documentation box information on activities covered under this category and a reference to the section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where background information can be found.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1022213</xdr:colOff>
      <xdr:row>11</xdr:row>
      <xdr:rowOff>46180</xdr:rowOff>
    </xdr:from>
    <xdr:to>
      <xdr:col>7</xdr:col>
      <xdr:colOff>17317</xdr:colOff>
      <xdr:row>17</xdr:row>
      <xdr:rowOff>136573</xdr:rowOff>
    </xdr:to>
    <xdr:pic>
      <xdr:nvPicPr>
        <xdr:cNvPr id="5" name="Imagen 4">
          <a:extLst>
            <a:ext uri="{FF2B5EF4-FFF2-40B4-BE49-F238E27FC236}">
              <a16:creationId xmlns:a16="http://schemas.microsoft.com/office/drawing/2014/main" id="{846AA90A-9F6C-CBA0-F5F3-5318926D5E43}"/>
            </a:ext>
          </a:extLst>
        </xdr:cNvPr>
        <xdr:cNvPicPr>
          <a:picLocks noChangeAspect="1"/>
        </xdr:cNvPicPr>
      </xdr:nvPicPr>
      <xdr:blipFill>
        <a:blip xmlns:r="http://schemas.openxmlformats.org/officeDocument/2006/relationships" r:embed="rId1"/>
        <a:stretch>
          <a:fillRect/>
        </a:stretch>
      </xdr:blipFill>
      <xdr:spPr>
        <a:xfrm>
          <a:off x="7100895" y="1685635"/>
          <a:ext cx="2874377" cy="147584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56515</xdr:colOff>
      <xdr:row>44</xdr:row>
      <xdr:rowOff>48893</xdr:rowOff>
    </xdr:from>
    <xdr:to>
      <xdr:col>7</xdr:col>
      <xdr:colOff>2540</xdr:colOff>
      <xdr:row>55</xdr:row>
      <xdr:rowOff>114300</xdr:rowOff>
    </xdr:to>
    <xdr:sp macro="" textlink="">
      <xdr:nvSpPr>
        <xdr:cNvPr id="2" name="TextBox 1">
          <a:extLst>
            <a:ext uri="{FF2B5EF4-FFF2-40B4-BE49-F238E27FC236}">
              <a16:creationId xmlns:a16="http://schemas.microsoft.com/office/drawing/2014/main" id="{5C55FF52-740B-487B-8CBD-8B494D0FC994}"/>
            </a:ext>
          </a:extLst>
        </xdr:cNvPr>
        <xdr:cNvSpPr txBox="1"/>
      </xdr:nvSpPr>
      <xdr:spPr>
        <a:xfrm>
          <a:off x="56515" y="9453243"/>
          <a:ext cx="10467975" cy="1741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encouraged to provide detailed livestock population data by animal type and region, if available, in NID, and provide in the documentation box below a reference to the relevant section. Parties should use the same animal population statistics to estimate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enteric fermentation,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emissions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from manure management, 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soil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manure production, as well as emissions from use of manure as fuel, and sewage-related emissions reported under the waste sector.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Y</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refers to the fraction of gross energy in feed converted to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when Parties want to report a more disaggregate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3.A.3 under other (please specify).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89</xdr:row>
      <xdr:rowOff>63500</xdr:rowOff>
    </xdr:from>
    <xdr:to>
      <xdr:col>6</xdr:col>
      <xdr:colOff>1176655</xdr:colOff>
      <xdr:row>95</xdr:row>
      <xdr:rowOff>101600</xdr:rowOff>
    </xdr:to>
    <xdr:sp macro="" textlink="">
      <xdr:nvSpPr>
        <xdr:cNvPr id="3" name="TextBox 2">
          <a:extLst>
            <a:ext uri="{FF2B5EF4-FFF2-40B4-BE49-F238E27FC236}">
              <a16:creationId xmlns:a16="http://schemas.microsoft.com/office/drawing/2014/main" id="{506C4CAC-B84B-474D-8A40-B5AB4B0FE6D3}"/>
            </a:ext>
          </a:extLst>
        </xdr:cNvPr>
        <xdr:cNvSpPr txBox="1"/>
      </xdr:nvSpPr>
      <xdr:spPr>
        <a:xfrm>
          <a:off x="0" y="16344900"/>
          <a:ext cx="10434955"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including information from the additional information box, in chapter 5 ("Agriculture" (CRT sector 3)) of the NID.  Use this documentation box to provide references to relevant sections of the NID, if</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any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Parameters relevant to the application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7</xdr:col>
      <xdr:colOff>114300</xdr:colOff>
      <xdr:row>15</xdr:row>
      <xdr:rowOff>0</xdr:rowOff>
    </xdr:from>
    <xdr:to>
      <xdr:col>14</xdr:col>
      <xdr:colOff>8255</xdr:colOff>
      <xdr:row>21</xdr:row>
      <xdr:rowOff>85725</xdr:rowOff>
    </xdr:to>
    <xdr:sp macro="" textlink="">
      <xdr:nvSpPr>
        <xdr:cNvPr id="4" name="TextBox 3">
          <a:extLst>
            <a:ext uri="{FF2B5EF4-FFF2-40B4-BE49-F238E27FC236}">
              <a16:creationId xmlns:a16="http://schemas.microsoft.com/office/drawing/2014/main" id="{BEA79993-FABA-4D0E-B482-AB36828394DA}"/>
            </a:ext>
          </a:extLst>
        </xdr:cNvPr>
        <xdr:cNvSpPr txBox="1"/>
      </xdr:nvSpPr>
      <xdr:spPr>
        <a:xfrm>
          <a:off x="10636250" y="2774950"/>
          <a:ext cx="4529455" cy="145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See also tables 10A.1, 10A.2 and 10A.3, chap.</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10, vol.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4 of the 2006 IPCC Guidelines. These data are relevant if Parties do not have data on average feed intake.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Disaggregate to the split actually used. Add columns to the table if necessary.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For cattle, buffalo and sheep specify the feeding situation in accordance with table 10.5,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12</xdr:col>
      <xdr:colOff>38100</xdr:colOff>
      <xdr:row>39</xdr:row>
      <xdr:rowOff>12700</xdr:rowOff>
    </xdr:from>
    <xdr:to>
      <xdr:col>27</xdr:col>
      <xdr:colOff>344557</xdr:colOff>
      <xdr:row>43</xdr:row>
      <xdr:rowOff>178020</xdr:rowOff>
    </xdr:to>
    <xdr:sp macro="" textlink="">
      <xdr:nvSpPr>
        <xdr:cNvPr id="2" name="TextBox 1">
          <a:extLst>
            <a:ext uri="{FF2B5EF4-FFF2-40B4-BE49-F238E27FC236}">
              <a16:creationId xmlns:a16="http://schemas.microsoft.com/office/drawing/2014/main" id="{81B9D247-A65C-4F4D-A851-34963F2ECFFE}"/>
            </a:ext>
          </a:extLst>
        </xdr:cNvPr>
        <xdr:cNvSpPr txBox="1"/>
      </xdr:nvSpPr>
      <xdr:spPr>
        <a:xfrm>
          <a:off x="12185650" y="9283700"/>
          <a:ext cx="7475607" cy="1079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MMS not included in the columns of this table should be reported under other.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MCF = methane conversion factor (p.10.43,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16118</xdr:colOff>
      <xdr:row>44</xdr:row>
      <xdr:rowOff>54415</xdr:rowOff>
    </xdr:from>
    <xdr:to>
      <xdr:col>14</xdr:col>
      <xdr:colOff>46135</xdr:colOff>
      <xdr:row>53</xdr:row>
      <xdr:rowOff>177801</xdr:rowOff>
    </xdr:to>
    <xdr:sp macro="" textlink="">
      <xdr:nvSpPr>
        <xdr:cNvPr id="3" name="TextBox 2">
          <a:extLst>
            <a:ext uri="{FF2B5EF4-FFF2-40B4-BE49-F238E27FC236}">
              <a16:creationId xmlns:a16="http://schemas.microsoft.com/office/drawing/2014/main" id="{7F0794F1-6777-4A0F-AA6D-395C62071B06}"/>
            </a:ext>
          </a:extLst>
        </xdr:cNvPr>
        <xdr:cNvSpPr txBox="1"/>
      </xdr:nvSpPr>
      <xdr:spPr>
        <a:xfrm>
          <a:off x="143118" y="10455715"/>
          <a:ext cx="11644167" cy="1856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Climate regions are defined in terms of annual average temperature as follows: cool = less than 15 °C; temperate = 15–25 °C inclusive; and warm = higher than 25 °C (see table 10.17, chap. 10, vol. 4 of the 2006 IPCC Guidelines).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VS = volatile solids; Bo = maximum methane producing capacity for manure (vol. 4, chap. 10, pp. 10.42</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10.43 of the 2006 IPCC Guidelines); dm = dry matter. Provide average values for VS and Bo where original calculations were made at a more disaggregated level of these livestock categories. </a:t>
          </a:r>
          <a:r>
            <a:rPr lang="en-US" sz="1000">
              <a:latin typeface="Times New Roman" panose="02020603050405020304" pitchFamily="18" charset="0"/>
              <a:cs typeface="Times New Roman" panose="02020603050405020304" pitchFamily="18" charset="0"/>
            </a:rPr>
            <a:t> </a:t>
          </a:r>
          <a:r>
            <a:rPr lang="en-US" sz="1000" strike="sngStrike">
              <a:solidFill>
                <a:schemeClr val="bg1">
                  <a:lumMod val="75000"/>
                </a:schemeClr>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if Parties wish to report at a more disaggregated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3.B.3 under other</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(please specify)</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 </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19863</xdr:colOff>
      <xdr:row>72</xdr:row>
      <xdr:rowOff>60439</xdr:rowOff>
    </xdr:from>
    <xdr:to>
      <xdr:col>13</xdr:col>
      <xdr:colOff>755220</xdr:colOff>
      <xdr:row>79</xdr:row>
      <xdr:rowOff>9780</xdr:rowOff>
    </xdr:to>
    <xdr:sp macro="" textlink="">
      <xdr:nvSpPr>
        <xdr:cNvPr id="4" name="TextBox 3">
          <a:extLst>
            <a:ext uri="{FF2B5EF4-FFF2-40B4-BE49-F238E27FC236}">
              <a16:creationId xmlns:a16="http://schemas.microsoft.com/office/drawing/2014/main" id="{DC01E521-147C-4154-8168-87359B8B22C8}"/>
            </a:ext>
          </a:extLst>
        </xdr:cNvPr>
        <xdr:cNvSpPr txBox="1"/>
      </xdr:nvSpPr>
      <xdr:spPr>
        <a:xfrm>
          <a:off x="19863" y="19089272"/>
          <a:ext cx="11646774" cy="1134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sections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 Disaggregation of livestock population (e.g. according to the classification recommended in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 Parameters relevant to the application of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 Information on how the MCFs are derived, if relevant data could not be provided in the additional information box.</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95884</xdr:colOff>
      <xdr:row>48</xdr:row>
      <xdr:rowOff>18414</xdr:rowOff>
    </xdr:from>
    <xdr:to>
      <xdr:col>19</xdr:col>
      <xdr:colOff>260137</xdr:colOff>
      <xdr:row>57</xdr:row>
      <xdr:rowOff>151085</xdr:rowOff>
    </xdr:to>
    <xdr:sp macro="" textlink="">
      <xdr:nvSpPr>
        <xdr:cNvPr id="2" name="TextBox 1">
          <a:extLst>
            <a:ext uri="{FF2B5EF4-FFF2-40B4-BE49-F238E27FC236}">
              <a16:creationId xmlns:a16="http://schemas.microsoft.com/office/drawing/2014/main" id="{B497BA35-663C-4C29-BDE3-BE5D0148746E}"/>
            </a:ext>
          </a:extLst>
        </xdr:cNvPr>
        <xdr:cNvSpPr txBox="1"/>
      </xdr:nvSpPr>
      <xdr:spPr>
        <a:xfrm>
          <a:off x="95884" y="11886564"/>
          <a:ext cx="12802870" cy="1796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Direct and indirect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the manure deposited on agricultural soils or pasture, range and paddock systems are included under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managed soils (see table 3(III).D-E).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associated with the burning of dung are to be reported under fuel combustion if used as fuel and under waste incineration if burned without energy recovery.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poultry manure with and without litter and aerobic treatment.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Total N volatilized does not include N volatilized from manure deposited in pasture, range and paddock systems.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be used if Parties wish to report at a more disaggregated livestock categorization compared with option A.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(6)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to</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ensure the highest possible degree of comparability of the reporting. If detailed data are not available, Parties should include all emissions from other livestock not included under subcategories 3.B.1</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3.B.3 under other (please specify).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(7)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 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11007</xdr:colOff>
      <xdr:row>75</xdr:row>
      <xdr:rowOff>10584</xdr:rowOff>
    </xdr:from>
    <xdr:to>
      <xdr:col>19</xdr:col>
      <xdr:colOff>188595</xdr:colOff>
      <xdr:row>80</xdr:row>
      <xdr:rowOff>74717</xdr:rowOff>
    </xdr:to>
    <xdr:sp macro="" textlink="">
      <xdr:nvSpPr>
        <xdr:cNvPr id="3" name="TextBox 2">
          <a:extLst>
            <a:ext uri="{FF2B5EF4-FFF2-40B4-BE49-F238E27FC236}">
              <a16:creationId xmlns:a16="http://schemas.microsoft.com/office/drawing/2014/main" id="{3FAE1AF6-BBB2-4792-86FB-8198261BB0F4}"/>
            </a:ext>
          </a:extLst>
        </xdr:cNvPr>
        <xdr:cNvSpPr txBox="1"/>
      </xdr:nvSpPr>
      <xdr:spPr>
        <a:xfrm>
          <a:off x="138007" y="15282334"/>
          <a:ext cx="12718838" cy="91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Information on other MMS, if reported.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94615</xdr:colOff>
      <xdr:row>25</xdr:row>
      <xdr:rowOff>50165</xdr:rowOff>
    </xdr:from>
    <xdr:to>
      <xdr:col>7</xdr:col>
      <xdr:colOff>0</xdr:colOff>
      <xdr:row>32</xdr:row>
      <xdr:rowOff>158115</xdr:rowOff>
    </xdr:to>
    <xdr:sp macro="" textlink="">
      <xdr:nvSpPr>
        <xdr:cNvPr id="2" name="TextBox 1">
          <a:extLst>
            <a:ext uri="{FF2B5EF4-FFF2-40B4-BE49-F238E27FC236}">
              <a16:creationId xmlns:a16="http://schemas.microsoft.com/office/drawing/2014/main" id="{034B2985-A1C7-455C-8806-18C1E732C4CC}"/>
            </a:ext>
          </a:extLst>
        </xdr:cNvPr>
        <xdr:cNvSpPr txBox="1"/>
      </xdr:nvSpPr>
      <xdr:spPr>
        <a:xfrm>
          <a:off x="94615" y="5136515"/>
          <a:ext cx="8363585" cy="132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IEF implicitly takes account of all relevant corrections for continuously flooded fields without organic amendments, the correction for organic amendments and the effect of different soil characteristics, if considered in the calculation of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Harvested area is the cultivated area multiplied by the number of cropping seasons per year.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Specify the dry weight or wet weight for organic amendments in the documentation box.</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These rows are included to allow comparison with international statistics.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upland rice are assumed to be zero.</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12700</xdr:colOff>
      <xdr:row>45</xdr:row>
      <xdr:rowOff>125730</xdr:rowOff>
    </xdr:from>
    <xdr:to>
      <xdr:col>6</xdr:col>
      <xdr:colOff>1054100</xdr:colOff>
      <xdr:row>53</xdr:row>
      <xdr:rowOff>26035</xdr:rowOff>
    </xdr:to>
    <xdr:sp macro="" textlink="">
      <xdr:nvSpPr>
        <xdr:cNvPr id="3" name="TextBox 2">
          <a:extLst>
            <a:ext uri="{FF2B5EF4-FFF2-40B4-BE49-F238E27FC236}">
              <a16:creationId xmlns:a16="http://schemas.microsoft.com/office/drawing/2014/main" id="{50339CDD-71AA-4AF7-BF8D-80E3E2B86174}"/>
            </a:ext>
          </a:extLst>
        </xdr:cNvPr>
        <xdr:cNvSpPr txBox="1"/>
      </xdr:nvSpPr>
      <xdr:spPr>
        <a:xfrm>
          <a:off x="12700" y="8602980"/>
          <a:ext cx="80645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data are disaggregated by more than one region within a country and/or by growing season, provide in this documentation box</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 reference to the relevant section of the NID where information on the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disaggregation and related data can be found.</a:t>
          </a:r>
          <a:endParaRPr lang="en-US" sz="100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available, provide AD and scaling factors by soil type and rice cultivar in the NID.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86994</xdr:colOff>
      <xdr:row>23</xdr:row>
      <xdr:rowOff>15240</xdr:rowOff>
    </xdr:from>
    <xdr:to>
      <xdr:col>6</xdr:col>
      <xdr:colOff>9524</xdr:colOff>
      <xdr:row>36</xdr:row>
      <xdr:rowOff>38100</xdr:rowOff>
    </xdr:to>
    <xdr:sp macro="" textlink="">
      <xdr:nvSpPr>
        <xdr:cNvPr id="2" name="TextBox 1">
          <a:extLst>
            <a:ext uri="{FF2B5EF4-FFF2-40B4-BE49-F238E27FC236}">
              <a16:creationId xmlns:a16="http://schemas.microsoft.com/office/drawing/2014/main" id="{537DCBAB-3426-4CC2-BC37-B1FC9320AC71}"/>
            </a:ext>
          </a:extLst>
        </xdr:cNvPr>
        <xdr:cNvSpPr txBox="1"/>
      </xdr:nvSpPr>
      <xdr:spPr>
        <a:xfrm>
          <a:off x="86994" y="6162040"/>
          <a:ext cx="9847580" cy="200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To convert from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 to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multiply by 44/28.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cultivation of histosols the unit of the IEF is kg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O–N/ha. Emissions from cultivation/management of cropland and grassland are to be included. For a definition of organic soils, see the 2006 IPCC Guidelines (vol. 4, chap. 11, p.11.6, footnote 4).</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Include the application of fertilizers on cropland and grassland. If the application of fertilizers to the other land categories cannot be identified separately, this application should be included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management changes in cropland remaining cropland and grassland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remaining grassland for agriculture purpose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should be reported in this table.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Methodologies for estimating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mineralization/immobilization associated with loss/gain of soil organic matter resulting from management of mineral soils are based on equations 11.1, 11.2 and 11.8 of the 2006 IPCC Guidelines.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immobilization associated with gain of organic matter resulting from management of mineral soils may only be reported if a Party applies a tier 3 approach in the relevant calculation.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Only the atmospheric deposition of N volatilized from agricultural inputs of N are to be reported here, not including NO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associated with the burning of savannahs and crop residues.</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55</xdr:row>
      <xdr:rowOff>128588</xdr:rowOff>
    </xdr:from>
    <xdr:to>
      <xdr:col>5</xdr:col>
      <xdr:colOff>974725</xdr:colOff>
      <xdr:row>61</xdr:row>
      <xdr:rowOff>96838</xdr:rowOff>
    </xdr:to>
    <xdr:sp macro="" textlink="">
      <xdr:nvSpPr>
        <xdr:cNvPr id="3" name="TextBox 2">
          <a:extLst>
            <a:ext uri="{FF2B5EF4-FFF2-40B4-BE49-F238E27FC236}">
              <a16:creationId xmlns:a16="http://schemas.microsoft.com/office/drawing/2014/main" id="{7B61485B-4058-406D-96F0-2F3228C18260}"/>
            </a:ext>
          </a:extLst>
        </xdr:cNvPr>
        <xdr:cNvSpPr txBox="1"/>
      </xdr:nvSpPr>
      <xdr:spPr>
        <a:xfrm>
          <a:off x="0" y="11050588"/>
          <a:ext cx="9729788" cy="873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detailed description of the agriculture sector in chapter 5 ("Agriculture" (CRT sector 3)) of the NID. Use this documentation box to provide references to relevant sections of the NID, if any</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in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Background information 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from agricultural soils, if accounted for under the agriculture sector;</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List of assumptions and fractions used.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97790</xdr:colOff>
      <xdr:row>24</xdr:row>
      <xdr:rowOff>58420</xdr:rowOff>
    </xdr:from>
    <xdr:to>
      <xdr:col>10</xdr:col>
      <xdr:colOff>57785</xdr:colOff>
      <xdr:row>30</xdr:row>
      <xdr:rowOff>95250</xdr:rowOff>
    </xdr:to>
    <xdr:sp macro="" textlink="">
      <xdr:nvSpPr>
        <xdr:cNvPr id="2" name="TextBox 1">
          <a:extLst>
            <a:ext uri="{FF2B5EF4-FFF2-40B4-BE49-F238E27FC236}">
              <a16:creationId xmlns:a16="http://schemas.microsoft.com/office/drawing/2014/main" id="{8DA4D25D-9D6C-42D9-A039-5A83C517FC2F}"/>
            </a:ext>
          </a:extLst>
        </xdr:cNvPr>
        <xdr:cNvSpPr txBox="1"/>
      </xdr:nvSpPr>
      <xdr:spPr>
        <a:xfrm>
          <a:off x="97790" y="5379720"/>
          <a:ext cx="9313545" cy="951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Mass of fuel available for combustion.</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Parties use a methodology other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than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IPCC default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(e.g. based on crop production), the estimate for total biomass burned can be reported without data on area, fuel available and combustion factor. In this case, the additional information table should be used to report the parameters used to derive the total biomass burned.</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21772</xdr:colOff>
      <xdr:row>40</xdr:row>
      <xdr:rowOff>88900</xdr:rowOff>
    </xdr:from>
    <xdr:to>
      <xdr:col>9</xdr:col>
      <xdr:colOff>630465</xdr:colOff>
      <xdr:row>43</xdr:row>
      <xdr:rowOff>76201</xdr:rowOff>
    </xdr:to>
    <xdr:sp macro="" textlink="">
      <xdr:nvSpPr>
        <xdr:cNvPr id="3" name="TextBox 2">
          <a:extLst>
            <a:ext uri="{FF2B5EF4-FFF2-40B4-BE49-F238E27FC236}">
              <a16:creationId xmlns:a16="http://schemas.microsoft.com/office/drawing/2014/main" id="{F24377B9-D3F9-4849-896E-3A173537249D}"/>
            </a:ext>
          </a:extLst>
        </xdr:cNvPr>
        <xdr:cNvSpPr txBox="1"/>
      </xdr:nvSpPr>
      <xdr:spPr>
        <a:xfrm>
          <a:off x="21772" y="7219043"/>
          <a:ext cx="9226550" cy="47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44450</xdr:colOff>
      <xdr:row>31</xdr:row>
      <xdr:rowOff>101600</xdr:rowOff>
    </xdr:from>
    <xdr:to>
      <xdr:col>5</xdr:col>
      <xdr:colOff>50800</xdr:colOff>
      <xdr:row>35</xdr:row>
      <xdr:rowOff>101600</xdr:rowOff>
    </xdr:to>
    <xdr:sp macro="" textlink="">
      <xdr:nvSpPr>
        <xdr:cNvPr id="2" name="TextBox 1">
          <a:extLst>
            <a:ext uri="{FF2B5EF4-FFF2-40B4-BE49-F238E27FC236}">
              <a16:creationId xmlns:a16="http://schemas.microsoft.com/office/drawing/2014/main" id="{07BC9E83-0DA2-4D92-8DE3-051A9EE4FACA}"/>
            </a:ext>
          </a:extLst>
        </xdr:cNvPr>
        <xdr:cNvSpPr txBox="1"/>
      </xdr:nvSpPr>
      <xdr:spPr>
        <a:xfrm>
          <a:off x="152400" y="4845050"/>
          <a:ext cx="89535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88900</xdr:colOff>
      <xdr:row>16</xdr:row>
      <xdr:rowOff>25399</xdr:rowOff>
    </xdr:from>
    <xdr:to>
      <xdr:col>5</xdr:col>
      <xdr:colOff>3175</xdr:colOff>
      <xdr:row>22</xdr:row>
      <xdr:rowOff>28574</xdr:rowOff>
    </xdr:to>
    <xdr:sp macro="" textlink="">
      <xdr:nvSpPr>
        <xdr:cNvPr id="3" name="TextBox 2">
          <a:extLst>
            <a:ext uri="{FF2B5EF4-FFF2-40B4-BE49-F238E27FC236}">
              <a16:creationId xmlns:a16="http://schemas.microsoft.com/office/drawing/2014/main" id="{88EA5926-9BE0-4408-9485-7E795E1FE9F8}"/>
            </a:ext>
          </a:extLst>
        </xdr:cNvPr>
        <xdr:cNvSpPr txBox="1"/>
      </xdr:nvSpPr>
      <xdr:spPr>
        <a:xfrm>
          <a:off x="88900" y="3244849"/>
          <a:ext cx="8969375" cy="91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should include all national liming regardless of land use. Parties should report total estimates for total lime application.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example, emissions associated with storage of digested residues.</a:t>
          </a: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10159</xdr:colOff>
      <xdr:row>70</xdr:row>
      <xdr:rowOff>76201</xdr:rowOff>
    </xdr:from>
    <xdr:to>
      <xdr:col>14</xdr:col>
      <xdr:colOff>1198179</xdr:colOff>
      <xdr:row>84</xdr:row>
      <xdr:rowOff>147145</xdr:rowOff>
    </xdr:to>
    <xdr:sp macro="" textlink="">
      <xdr:nvSpPr>
        <xdr:cNvPr id="2" name="TextBox 1">
          <a:extLst>
            <a:ext uri="{FF2B5EF4-FFF2-40B4-BE49-F238E27FC236}">
              <a16:creationId xmlns:a16="http://schemas.microsoft.com/office/drawing/2014/main" id="{56FE2AEB-6B96-4A52-B12A-2410B1BAE535}"/>
            </a:ext>
          </a:extLst>
        </xdr:cNvPr>
        <xdr:cNvSpPr txBox="1"/>
      </xdr:nvSpPr>
      <xdr:spPr>
        <a:xfrm>
          <a:off x="143509" y="15474951"/>
          <a:ext cx="12916470" cy="26490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 emissions of HFCs, PFCs, unspecified mix of HFCs and PFCs and other F-gases are to be expressed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eq. emissions. Data on disaggregated emissions of HFCs and PFCs are to be provided in table 2(II) of this common reporting f</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ormat.</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emissions/removals"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Category 2.H. other includes pulp and paper and food and beverages industry.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reporting purposes, the signs are always negative (-) for removals and positive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for emissions</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from categories solid waste disposal on land and waste incineration should only be included if it stems from non-biogenic or inorganic waste streams. Only emissions from waste incineration without energy recovery are to be reported in the waste</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sector, whereas emissions from incineration with energy recovery are to be reported in the energy sector.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reporting any country-specific category under sector "6. Other", detailed explanations should be provided in Chapter 8: Other (CRT sector 6) of the national inventory document (NID).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98425</xdr:colOff>
      <xdr:row>74</xdr:row>
      <xdr:rowOff>63500</xdr:rowOff>
    </xdr:from>
    <xdr:to>
      <xdr:col>11</xdr:col>
      <xdr:colOff>0</xdr:colOff>
      <xdr:row>88</xdr:row>
      <xdr:rowOff>10510</xdr:rowOff>
    </xdr:to>
    <xdr:sp macro="" textlink="">
      <xdr:nvSpPr>
        <xdr:cNvPr id="2" name="TextBox 1">
          <a:extLst>
            <a:ext uri="{FF2B5EF4-FFF2-40B4-BE49-F238E27FC236}">
              <a16:creationId xmlns:a16="http://schemas.microsoft.com/office/drawing/2014/main" id="{7E48F741-91E0-4BD4-9E63-14DD3F8C5DDE}"/>
            </a:ext>
          </a:extLst>
        </xdr:cNvPr>
        <xdr:cNvSpPr txBox="1"/>
      </xdr:nvSpPr>
      <xdr:spPr>
        <a:xfrm>
          <a:off x="98425" y="16338550"/>
          <a:ext cx="10944225" cy="228381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from LULUCF, the net emissions/removals are to be reported.  For reporting purposes, the signs are always negative (-) for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removals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nd positive (+) </a:t>
          </a:r>
          <a:r>
            <a:rPr lang="en-US" sz="1000" b="0" i="0">
              <a:solidFill>
                <a:schemeClr val="dk1"/>
              </a:solidFill>
              <a:effectLst/>
              <a:latin typeface="Times New Roman" panose="02020603050405020304" pitchFamily="18" charset="0"/>
              <a:ea typeface="+mn-ea"/>
              <a:cs typeface="Times New Roman" panose="02020603050405020304" pitchFamily="18" charset="0"/>
            </a:rPr>
            <a:t>for emissions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national inventory document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 accordance with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the modalities, procedures and guidelines (chapter II)</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Par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ties that decide to report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national totals shall be provided with and without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3809</xdr:colOff>
      <xdr:row>70</xdr:row>
      <xdr:rowOff>152399</xdr:rowOff>
    </xdr:from>
    <xdr:to>
      <xdr:col>12</xdr:col>
      <xdr:colOff>399169</xdr:colOff>
      <xdr:row>75</xdr:row>
      <xdr:rowOff>124558</xdr:rowOff>
    </xdr:to>
    <xdr:sp macro="" textlink="">
      <xdr:nvSpPr>
        <xdr:cNvPr id="2" name="TextBox 2">
          <a:extLst>
            <a:ext uri="{FF2B5EF4-FFF2-40B4-BE49-F238E27FC236}">
              <a16:creationId xmlns:a16="http://schemas.microsoft.com/office/drawing/2014/main" id="{51A47485-821C-4FC5-AAED-BBE78F356063}"/>
            </a:ext>
          </a:extLst>
        </xdr:cNvPr>
        <xdr:cNvSpPr txBox="1"/>
      </xdr:nvSpPr>
      <xdr:spPr>
        <a:xfrm>
          <a:off x="137159" y="15055849"/>
          <a:ext cx="11952360" cy="734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Times New Roman" panose="02020603050405020304" pitchFamily="18" charset="0"/>
              <a:ea typeface="+mn-ea"/>
              <a:cs typeface="Times New Roman" panose="02020603050405020304" pitchFamily="18" charset="0"/>
            </a:rPr>
            <a:t>• Parties should provide the full information on methodological issues, such as methods and emission factors used, in the relevant sections of NID.  Use this documentation box to provide references to relevant sections of the NID, if any additional information and further details are needed to understand the content of this table.</a:t>
          </a:r>
        </a:p>
        <a:p>
          <a:r>
            <a:rPr lang="en-US" sz="1000">
              <a:solidFill>
                <a:schemeClr val="dk1"/>
              </a:solidFill>
              <a:effectLst/>
              <a:latin typeface="Times New Roman" panose="02020603050405020304" pitchFamily="18" charset="0"/>
              <a:ea typeface="+mn-ea"/>
              <a:cs typeface="Times New Roman" panose="02020603050405020304" pitchFamily="18" charset="0"/>
            </a:rPr>
            <a:t>• Where a mix of methods/EFs has been used within one category, use this documentation box to specify those methods/emission factors for the various sub-category where they have been applied.</a:t>
          </a:r>
        </a:p>
        <a:p>
          <a:r>
            <a:rPr lang="en-US" sz="1000">
              <a:solidFill>
                <a:schemeClr val="dk1"/>
              </a:solidFill>
              <a:effectLst/>
              <a:latin typeface="Times New Roman" panose="02020603050405020304" pitchFamily="18" charset="0"/>
              <a:ea typeface="+mn-ea"/>
              <a:cs typeface="Times New Roman" panose="02020603050405020304" pitchFamily="18" charset="0"/>
            </a:rPr>
            <a:t>• Where the notation OTH (other) has been entered in this table, use this documentation box to specify those other methods/EFs.</a:t>
          </a:r>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0</xdr:col>
      <xdr:colOff>85310</xdr:colOff>
      <xdr:row>56</xdr:row>
      <xdr:rowOff>133351</xdr:rowOff>
    </xdr:from>
    <xdr:to>
      <xdr:col>14</xdr:col>
      <xdr:colOff>739636</xdr:colOff>
      <xdr:row>69</xdr:row>
      <xdr:rowOff>133351</xdr:rowOff>
    </xdr:to>
    <xdr:sp macro="" textlink="">
      <xdr:nvSpPr>
        <xdr:cNvPr id="3" name="TextBox 1">
          <a:extLst>
            <a:ext uri="{FF2B5EF4-FFF2-40B4-BE49-F238E27FC236}">
              <a16:creationId xmlns:a16="http://schemas.microsoft.com/office/drawing/2014/main" id="{24CAE48E-C903-45D2-90CF-25FF832105C8}"/>
            </a:ext>
          </a:extLst>
        </xdr:cNvPr>
        <xdr:cNvSpPr txBox="1"/>
      </xdr:nvSpPr>
      <xdr:spPr>
        <a:xfrm>
          <a:off x="85310" y="12255501"/>
          <a:ext cx="13868676" cy="2597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method applied:</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T1</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1)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T1a, T1b, T1c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tier 1a, tier 1b and tier 1c, respectively)	</a:t>
          </a:r>
          <a:r>
            <a:rPr lang="en-US" sz="1000" b="1" i="0">
              <a:solidFill>
                <a:schemeClr val="dk1"/>
              </a:solidFill>
              <a:effectLst/>
              <a:latin typeface="Times New Roman" panose="02020603050405020304" pitchFamily="18" charset="0"/>
              <a:ea typeface="+mn-ea"/>
              <a:cs typeface="Times New Roman" panose="02020603050405020304" pitchFamily="18" charset="0"/>
            </a:rPr>
            <a:t>T2</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2)</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T3</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3)</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(CORINAIR)</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CS</a:t>
          </a:r>
          <a:r>
            <a:rPr lang="en-US" sz="1000" b="0" i="0">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(model)</a:t>
          </a:r>
          <a:r>
            <a:rPr lang="en-US" sz="1000" b="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RA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(reference approach)</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 one method is indicated, should be provided in the documentation box. Also use the documentation box to explain the use of notation OTH.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emission factor used:</a:t>
          </a:r>
          <a:r>
            <a:rPr lang="en-US" sz="1000" b="0">
              <a:latin typeface="Times New Roman" panose="02020603050405020304" pitchFamily="18" charset="0"/>
              <a:cs typeface="Times New Roman" panose="02020603050405020304" pitchFamily="18" charset="0"/>
            </a:rPr>
            <a:t> </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CR</a:t>
          </a:r>
          <a:r>
            <a:rPr lang="en-US" sz="1000" b="0" i="0">
              <a:solidFill>
                <a:schemeClr val="dk1"/>
              </a:solidFill>
              <a:effectLst/>
              <a:latin typeface="Times New Roman" panose="02020603050405020304" pitchFamily="18" charset="0"/>
              <a:ea typeface="+mn-ea"/>
              <a:cs typeface="Times New Roman" panose="02020603050405020304" pitchFamily="18" charset="0"/>
            </a:rPr>
            <a:t> (CORINAIR)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M</a:t>
          </a:r>
          <a:r>
            <a:rPr lang="en-US" sz="1000" b="0" i="0">
              <a:solidFill>
                <a:schemeClr val="dk1"/>
              </a:solidFill>
              <a:effectLst/>
              <a:latin typeface="Times New Roman" panose="02020603050405020304" pitchFamily="18" charset="0"/>
              <a:ea typeface="+mn-ea"/>
              <a:cs typeface="Times New Roman" panose="02020603050405020304" pitchFamily="18" charset="0"/>
            </a:rPr>
            <a:t> (model)</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PS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(plant-specific)</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Where a mix of EFs has been used, list all the methods in the relevant cells and provide explanations in the documentation box. Also u</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se the documentation box to explain the use of the notation key "OTH".</a:t>
          </a:r>
          <a:r>
            <a:rPr lang="en-US" sz="1000" b="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664604" name="1 Imagen">
          <a:extLst>
            <a:ext uri="{FF2B5EF4-FFF2-40B4-BE49-F238E27FC236}">
              <a16:creationId xmlns:a16="http://schemas.microsoft.com/office/drawing/2014/main" id="{43C44465-72B4-B60A-1A38-0DEE809CB4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577850</xdr:colOff>
      <xdr:row>1</xdr:row>
      <xdr:rowOff>146050</xdr:rowOff>
    </xdr:from>
    <xdr:to>
      <xdr:col>15</xdr:col>
      <xdr:colOff>977900</xdr:colOff>
      <xdr:row>5</xdr:row>
      <xdr:rowOff>806450</xdr:rowOff>
    </xdr:to>
    <xdr:pic>
      <xdr:nvPicPr>
        <xdr:cNvPr id="664605" name="Imagen 2">
          <a:extLst>
            <a:ext uri="{FF2B5EF4-FFF2-40B4-BE49-F238E27FC236}">
              <a16:creationId xmlns:a16="http://schemas.microsoft.com/office/drawing/2014/main" id="{4E932167-DEC7-7739-E1F8-B6259C4E79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9900" y="323850"/>
          <a:ext cx="646430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roberto_lucero_consultor_iica_int/Documents/Metodolog&#237;as%20IPCC/@CRT_2.8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Rev%20RGLs\tables\CRF%20Reporter%20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eviations and acronyms"/>
      <sheetName val="Table1"/>
      <sheetName val="Table1.A(a)s1"/>
      <sheetName val="Table1.A(a)s2"/>
      <sheetName val="Table1.A(a)s3"/>
      <sheetName val="Table1.A(a)s4"/>
      <sheetName val="Table1.A(b)"/>
      <sheetName val="Table1.A(c)"/>
      <sheetName val="Table1.A(d)"/>
      <sheetName val="Table1.B.1"/>
      <sheetName val="Table1.B.2"/>
      <sheetName val="Table1.C"/>
      <sheetName val="Table1.D"/>
      <sheetName val="Table2(I)"/>
      <sheetName val="Table2(I).A-H"/>
      <sheetName val="Table2(II)"/>
      <sheetName val="Table2(II).B-Hs1"/>
      <sheetName val="Table2(II).B-Hs2"/>
      <sheetName val="Table3"/>
      <sheetName val="Table3.A"/>
      <sheetName val="Table3.B(a)"/>
      <sheetName val="Table3.B(b)"/>
      <sheetName val="Table3.C"/>
      <sheetName val="Table3.D"/>
      <sheetName val="Table3.E"/>
      <sheetName val="Table3.F"/>
      <sheetName val="Table3.G-J"/>
      <sheetName val="Table4"/>
      <sheetName val="Table4.1"/>
      <sheetName val="Table4.A"/>
      <sheetName val="Table4.B"/>
      <sheetName val="Table4.C"/>
      <sheetName val="Table4.D"/>
      <sheetName val="Table4.E"/>
      <sheetName val="Table4.F"/>
      <sheetName val="Table4(I)"/>
      <sheetName val="Table4(II)"/>
      <sheetName val="Table4(III)"/>
      <sheetName val="Table4(IV)"/>
      <sheetName val="Table4.Gs1 "/>
      <sheetName val="Table4.Gs2"/>
      <sheetName val="Table5"/>
      <sheetName val="Table5.A"/>
      <sheetName val="Table5.B"/>
      <sheetName val="Table5.C"/>
      <sheetName val="Table5.D"/>
      <sheetName val="Summary1"/>
      <sheetName val="Summary2"/>
      <sheetName val="Summary3"/>
      <sheetName val="Table6"/>
      <sheetName val="Table7"/>
      <sheetName val="Table8s1"/>
      <sheetName val="Table8s2"/>
      <sheetName val="Table9"/>
      <sheetName val="Table10s1"/>
      <sheetName val="Table10s2"/>
      <sheetName val="Table10s3"/>
      <sheetName val="Table10s4"/>
      <sheetName val="Table10s5"/>
      <sheetName val="Table10s6"/>
      <sheetName val="Flex_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s1"/>
      <sheetName val="Table1s2"/>
      <sheetName val="Table1.A(a)s1"/>
      <sheetName val="Table1.A(a)s2"/>
      <sheetName val="Table1.A(a)s3"/>
      <sheetName val="Table1.A(a)s4"/>
      <sheetName val="Table1.A(b)"/>
      <sheetName val="Table1.A(c)"/>
      <sheetName val="Table1.A(d)"/>
      <sheetName val="Table1.A(d)changed"/>
      <sheetName val="Table1.B.1"/>
      <sheetName val="Table1.B.2"/>
      <sheetName val="Table1.B_option 2"/>
      <sheetName val="Table1.C_new"/>
      <sheetName val="Table1.D"/>
      <sheetName val="Table2(I)s1"/>
      <sheetName val="Table2(I)s2"/>
      <sheetName val="Table2(I).A-Gs1"/>
      <sheetName val="Table2(I).A-Gs2"/>
      <sheetName val="Table2(II)s1"/>
      <sheetName val="Table2(II)s2"/>
      <sheetName val="Table2(II).C, E"/>
      <sheetName val="Table2(II)F-gases.new"/>
      <sheetName val="Table2(II).Fs1"/>
      <sheetName val="Table2(II).Fs2"/>
      <sheetName val="Table3"/>
      <sheetName val="Table3.A-D"/>
      <sheetName val="Table 3 new"/>
      <sheetName val="Table4s1"/>
      <sheetName val="Table4s2"/>
      <sheetName val="Table4.A"/>
      <sheetName val="Table4.B(a)"/>
      <sheetName val="Table4.B(b)"/>
      <sheetName val="Table4.C"/>
      <sheetName val="Table4.Ds1"/>
      <sheetName val="Table4.E"/>
      <sheetName val="Table4.F"/>
      <sheetName val="Table5"/>
      <sheetName val="new matrix"/>
      <sheetName val="Table5.A"/>
      <sheetName val="Table5.B"/>
      <sheetName val="Table5.C"/>
      <sheetName val="Table5.D"/>
      <sheetName val="Table5.E"/>
      <sheetName val="Table5.F"/>
      <sheetName val="new for 3.C"/>
      <sheetName val="Table5(I)"/>
      <sheetName val="Table5(II)"/>
      <sheetName val="Table5(III)"/>
      <sheetName val="Table5(IV)"/>
      <sheetName val="Table5(V)"/>
      <sheetName val="new HWP"/>
      <sheetName val="Table6"/>
      <sheetName val="Table6.A,C"/>
      <sheetName val="Sheet4"/>
      <sheetName val="Sheet3"/>
      <sheetName val="Table6.Bs1"/>
      <sheetName val="table6 new indirect"/>
      <sheetName val="Summary1.As1"/>
      <sheetName val="Summary1.As2"/>
      <sheetName val="Summary1.As3"/>
      <sheetName val="Summary1.B"/>
      <sheetName val="Summary2"/>
      <sheetName val="Summary3s1"/>
      <sheetName val="Summary3s2"/>
      <sheetName val="Table7"/>
      <sheetName val="Table8(a)s1"/>
      <sheetName val="Table8(a)s2"/>
      <sheetName val="Table8(a)s3"/>
      <sheetName val="Table8(a)s4"/>
      <sheetName val="Table8(b)"/>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persons/person.xml><?xml version="1.0" encoding="utf-8"?>
<personList xmlns="http://schemas.microsoft.com/office/spreadsheetml/2018/threadedcomments" xmlns:x="http://schemas.openxmlformats.org/spreadsheetml/2006/main">
  <person displayName="Roberto Lucero" id="{DB147A56-4379-4B97-94D1-860B47DB8227}" userId="S::roberto.lucero.consultor@iica.int::706ab82a-2936-4775-aa53-6dcee3fe556e"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23" dT="2024-05-07T20:49:09.54" personId="{DB147A56-4379-4B97-94D1-860B47DB8227}" id="{6BD0426E-0529-45BB-B569-A726DBC59577}">
    <text>Mixed FE and AWSM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Luis.escudero@iniap.gob.ec" TargetMode="External"/><Relationship Id="rId3" Type="http://schemas.openxmlformats.org/officeDocument/2006/relationships/hyperlink" Target="mailto:rgaethe@magap.gob.ec" TargetMode="External"/><Relationship Id="rId7" Type="http://schemas.openxmlformats.org/officeDocument/2006/relationships/hyperlink" Target="mailto:Victor.barrera@iniap.gob.ec" TargetMode="External"/><Relationship Id="rId12" Type="http://schemas.openxmlformats.org/officeDocument/2006/relationships/hyperlink" Target="mailto:fespinozaj@mag.gob.ec" TargetMode="External"/><Relationship Id="rId2" Type="http://schemas.openxmlformats.org/officeDocument/2006/relationships/hyperlink" Target="mailto:armando_salazar@inec.gob.ec" TargetMode="External"/><Relationship Id="rId1" Type="http://schemas.openxmlformats.org/officeDocument/2006/relationships/hyperlink" Target="mailto:roberto.lucero@ambiente.gob.ec" TargetMode="External"/><Relationship Id="rId6" Type="http://schemas.openxmlformats.org/officeDocument/2006/relationships/hyperlink" Target="mailto:jose.zambrano@iniap.gob.ec" TargetMode="External"/><Relationship Id="rId11" Type="http://schemas.openxmlformats.org/officeDocument/2006/relationships/hyperlink" Target="mailto:dsanchezt@mag.gob.ec" TargetMode="External"/><Relationship Id="rId5" Type="http://schemas.openxmlformats.org/officeDocument/2006/relationships/hyperlink" Target="mailto:victor.barrera@iniap.gob.ec" TargetMode="External"/><Relationship Id="rId10" Type="http://schemas.openxmlformats.org/officeDocument/2006/relationships/hyperlink" Target="mailto:jvegal@mag.gob.ec" TargetMode="External"/><Relationship Id="rId4" Type="http://schemas.openxmlformats.org/officeDocument/2006/relationships/hyperlink" Target="mailto:guillermo.serpa@ucuenca.edu.ec%20c" TargetMode="External"/><Relationship Id="rId9" Type="http://schemas.openxmlformats.org/officeDocument/2006/relationships/hyperlink" Target="mailto:jmedina@mag.gob.ec"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fliphtml5.com/ijia/seet/basic"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hyperlink" Target="https://fliphtml5.com/ijia/nkej/basic"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javascript:void(0)" TargetMode="External"/><Relationship Id="rId7" Type="http://schemas.openxmlformats.org/officeDocument/2006/relationships/hyperlink" Target="javascript:void(0)" TargetMode="Externa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 Id="rId4" Type="http://schemas.microsoft.com/office/2017/10/relationships/threadedComment" Target="../threadedComments/threadedComment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20.bin"/><Relationship Id="rId4" Type="http://schemas.openxmlformats.org/officeDocument/2006/relationships/comments" Target="../comments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5"/>
  <sheetViews>
    <sheetView showGridLines="0" view="pageBreakPreview" zoomScale="90" zoomScaleNormal="90" zoomScaleSheetLayoutView="90" workbookViewId="0">
      <selection activeCell="D5" sqref="D5"/>
    </sheetView>
  </sheetViews>
  <sheetFormatPr defaultColWidth="10.6640625" defaultRowHeight="14"/>
  <cols>
    <col min="1" max="1" width="5.5" customWidth="1"/>
    <col min="2" max="2" width="6.75" customWidth="1"/>
    <col min="3" max="3" width="41.25" customWidth="1"/>
    <col min="4" max="4" width="60.58203125" customWidth="1"/>
  </cols>
  <sheetData>
    <row r="2" spans="1:5" ht="38.5" customHeight="1" thickBot="1"/>
    <row r="3" spans="1:5" ht="16" thickBot="1">
      <c r="B3" s="2082"/>
      <c r="C3" s="2083" t="s">
        <v>2385</v>
      </c>
      <c r="D3" s="2084"/>
      <c r="E3" s="2085"/>
    </row>
    <row r="4" spans="1:5">
      <c r="A4" s="2086"/>
      <c r="B4" s="2086"/>
      <c r="C4" s="2087" t="s">
        <v>963</v>
      </c>
      <c r="D4" s="2086"/>
      <c r="E4" s="2086"/>
    </row>
    <row r="5" spans="1:5">
      <c r="A5" s="2086"/>
      <c r="B5" s="2086"/>
      <c r="C5" s="2087"/>
      <c r="D5" s="2086"/>
      <c r="E5" s="2086"/>
    </row>
    <row r="6" spans="1:5" ht="15.5">
      <c r="A6" s="2086"/>
      <c r="B6" s="2086"/>
      <c r="C6" s="2088" t="s">
        <v>2244</v>
      </c>
      <c r="D6" s="2086"/>
      <c r="E6" s="2086"/>
    </row>
    <row r="7" spans="1:5">
      <c r="A7" s="2086"/>
      <c r="B7" s="2086"/>
      <c r="C7" s="2086"/>
      <c r="D7" s="2086"/>
      <c r="E7" s="2086"/>
    </row>
    <row r="8" spans="1:5" ht="24.5" customHeight="1">
      <c r="A8" s="2086"/>
      <c r="B8" s="2086"/>
      <c r="C8" s="2089" t="s">
        <v>915</v>
      </c>
      <c r="D8" s="2090" t="s">
        <v>916</v>
      </c>
      <c r="E8" s="2086"/>
    </row>
    <row r="9" spans="1:5">
      <c r="A9" s="2086"/>
      <c r="B9" s="2086" t="s">
        <v>680</v>
      </c>
      <c r="C9" s="2089" t="s">
        <v>896</v>
      </c>
      <c r="D9" s="2090" t="s">
        <v>897</v>
      </c>
      <c r="E9" s="2086"/>
    </row>
    <row r="10" spans="1:5">
      <c r="A10" s="2086"/>
      <c r="B10" s="2086" t="s">
        <v>110</v>
      </c>
      <c r="C10" s="2089" t="s">
        <v>1152</v>
      </c>
      <c r="D10" s="2090" t="s">
        <v>1163</v>
      </c>
      <c r="E10" s="2086"/>
    </row>
    <row r="11" spans="1:5" ht="19" customHeight="1">
      <c r="A11" s="2086"/>
      <c r="B11" s="2086" t="s">
        <v>110</v>
      </c>
      <c r="C11" s="2089" t="s">
        <v>1150</v>
      </c>
      <c r="D11" s="2090" t="s">
        <v>1164</v>
      </c>
      <c r="E11" s="2086"/>
    </row>
    <row r="12" spans="1:5" ht="19" customHeight="1">
      <c r="A12" s="2086"/>
      <c r="B12" s="2086" t="s">
        <v>127</v>
      </c>
      <c r="C12" s="2089" t="s">
        <v>1151</v>
      </c>
      <c r="D12" s="2090" t="s">
        <v>1165</v>
      </c>
      <c r="E12" s="2086"/>
    </row>
    <row r="13" spans="1:5" ht="19" customHeight="1">
      <c r="A13" s="2086"/>
      <c r="B13" s="2086" t="s">
        <v>202</v>
      </c>
      <c r="C13" s="2089" t="s">
        <v>899</v>
      </c>
      <c r="D13" s="2090" t="s">
        <v>900</v>
      </c>
      <c r="E13" s="2086"/>
    </row>
    <row r="14" spans="1:5" ht="19" customHeight="1">
      <c r="A14" s="2086"/>
      <c r="B14" s="2086" t="s">
        <v>129</v>
      </c>
      <c r="C14" s="2089" t="s">
        <v>901</v>
      </c>
      <c r="D14" s="2090" t="s">
        <v>902</v>
      </c>
      <c r="E14" s="2086"/>
    </row>
    <row r="15" spans="1:5" ht="19" customHeight="1">
      <c r="A15" s="2086"/>
      <c r="B15" s="2086"/>
      <c r="C15" s="2089" t="s">
        <v>903</v>
      </c>
      <c r="D15" s="2090" t="s">
        <v>904</v>
      </c>
      <c r="E15" s="2086"/>
    </row>
    <row r="16" spans="1:5" ht="19" customHeight="1">
      <c r="A16" s="2086"/>
      <c r="B16" s="2086" t="s">
        <v>161</v>
      </c>
      <c r="C16" s="2089" t="s">
        <v>905</v>
      </c>
      <c r="D16" s="2090" t="s">
        <v>906</v>
      </c>
      <c r="E16" s="2086"/>
    </row>
    <row r="17" spans="1:5" ht="18.649999999999999" customHeight="1">
      <c r="A17" s="2086"/>
      <c r="B17" s="2086" t="s">
        <v>259</v>
      </c>
      <c r="C17" s="2089" t="s">
        <v>907</v>
      </c>
      <c r="D17" s="2090" t="s">
        <v>908</v>
      </c>
      <c r="E17" s="2086"/>
    </row>
    <row r="18" spans="1:5" ht="20.149999999999999" customHeight="1">
      <c r="A18" s="2086"/>
      <c r="B18" s="2086" t="s">
        <v>104</v>
      </c>
      <c r="C18" s="2089" t="s">
        <v>909</v>
      </c>
      <c r="D18" s="2090" t="s">
        <v>910</v>
      </c>
      <c r="E18" s="2086"/>
    </row>
    <row r="19" spans="1:5" ht="20.149999999999999" customHeight="1">
      <c r="A19" s="2086"/>
      <c r="B19" s="2086" t="s">
        <v>1079</v>
      </c>
      <c r="C19" s="2089" t="s">
        <v>1153</v>
      </c>
      <c r="D19" s="2090" t="s">
        <v>1154</v>
      </c>
      <c r="E19" s="2086"/>
    </row>
    <row r="20" spans="1:5" ht="16" customHeight="1">
      <c r="A20" s="2086"/>
      <c r="B20" s="2086"/>
      <c r="C20" s="2089" t="s">
        <v>911</v>
      </c>
      <c r="D20" s="2090" t="s">
        <v>912</v>
      </c>
      <c r="E20" s="2086"/>
    </row>
    <row r="21" spans="1:5" ht="16" customHeight="1">
      <c r="A21" s="2086"/>
      <c r="B21" s="2086"/>
      <c r="C21" s="2089"/>
      <c r="D21" s="2091"/>
      <c r="E21" s="2086"/>
    </row>
    <row r="22" spans="1:5">
      <c r="A22" s="2086"/>
      <c r="B22" s="2086" t="s">
        <v>2246</v>
      </c>
      <c r="C22" s="2092" t="s">
        <v>2245</v>
      </c>
      <c r="D22" s="2086"/>
      <c r="E22" s="2086"/>
    </row>
    <row r="23" spans="1:5" hidden="1">
      <c r="A23" s="2086"/>
      <c r="B23" s="2086"/>
      <c r="C23" s="2093" t="s">
        <v>961</v>
      </c>
      <c r="D23" s="2091" t="s">
        <v>913</v>
      </c>
      <c r="E23" s="2086"/>
    </row>
    <row r="24" spans="1:5">
      <c r="A24" s="2086"/>
      <c r="B24" s="2086"/>
      <c r="C24" s="2086"/>
      <c r="D24" s="2086"/>
      <c r="E24" s="2086"/>
    </row>
    <row r="25" spans="1:5">
      <c r="A25" s="2086"/>
      <c r="B25" s="2086"/>
      <c r="C25" s="2091" t="s">
        <v>914</v>
      </c>
      <c r="D25" s="2086"/>
      <c r="E25" s="2086"/>
    </row>
  </sheetData>
  <hyperlinks>
    <hyperlink ref="C9" location="'3A1 Fermentación E.'!A1" display="Fermentación Entérica" xr:uid="{00000000-0004-0000-0500-000000000000}"/>
    <hyperlink ref="C10" location="'3B Manejo de Estiércol CH4'!A1" display="Gestión de Estiércol CH4" xr:uid="{00000000-0004-0000-0500-000001000000}"/>
    <hyperlink ref="C11" location="'3B Gestión Estiércol N2O Dir'!A1" display="Gestión de Estércol N2O Directo" xr:uid="{00000000-0004-0000-0500-000002000000}"/>
    <hyperlink ref="C13" location="'3C7 Arroz'!A1" display="Cultivo de Arroz CH4" xr:uid="{00000000-0004-0000-0500-000004000000}"/>
    <hyperlink ref="C14" location="'3C4 Suelos Agricolas N2O Direct'!A1" display="Suelos Agricolas N2O Directo" xr:uid="{00000000-0004-0000-0500-000005000000}"/>
    <hyperlink ref="C15" location="'Anexo 3C4'!A1" display="Anexo 3C4" xr:uid="{00000000-0004-0000-0500-000006000000}"/>
    <hyperlink ref="C16" location="'3C5 Suelos Agricolas N2O Indire'!A1" display="Suelos Agricolas N2O Indirecto" xr:uid="{00000000-0004-0000-0500-000007000000}"/>
    <hyperlink ref="C17" location="'3C2 Encalado'!A1" display="Emisiones CO2 por Encalado" xr:uid="{00000000-0004-0000-0500-000008000000}"/>
    <hyperlink ref="C18" location="'3C3 UREA'!A1" display="Emisiones CO2 por Aplicación de Urea" xr:uid="{00000000-0004-0000-0500-000009000000}"/>
    <hyperlink ref="C20" location="RESULTADOS!A1" display="RESULTADOS" xr:uid="{00000000-0004-0000-0500-00000A000000}"/>
    <hyperlink ref="C8" location="'Datos de Actividad'!A1" display="Datos de Actividad" xr:uid="{00000000-0004-0000-0500-00000D000000}"/>
    <hyperlink ref="C23" location="'Cat. Principales Desagregado'!A1" display="Categorías Principales Desagregado" xr:uid="{00000000-0004-0000-0500-00000E000000}"/>
    <hyperlink ref="C12" location="'3B Gestión Estiércol N2O Ind'!A1" display="Gestión de Estércol N2O Indirecto" xr:uid="{00000000-0004-0000-0500-00000F000000}"/>
    <hyperlink ref="C19" location="'3C1 Quema de biomasa'!A1" display="Quema de Biomasa" xr:uid="{9F1AC113-D596-4A76-96E8-3B2FEB2F7F6A}"/>
  </hyperlinks>
  <pageMargins left="0.70866141732283472" right="0.70866141732283472" top="0.74803149606299213" bottom="0.74803149606299213" header="0.31496062992125984" footer="0.31496062992125984"/>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Q36"/>
  <sheetViews>
    <sheetView showGridLines="0" zoomScale="60" zoomScaleNormal="60" workbookViewId="0">
      <selection activeCell="K26" sqref="K26"/>
    </sheetView>
  </sheetViews>
  <sheetFormatPr defaultColWidth="10.6640625" defaultRowHeight="14"/>
  <cols>
    <col min="1" max="1" width="8" customWidth="1"/>
    <col min="2" max="2" width="39.5" bestFit="1" customWidth="1"/>
    <col min="3" max="3" width="20.33203125" customWidth="1"/>
    <col min="4" max="4" width="21.33203125" customWidth="1"/>
    <col min="5" max="5" width="40.08203125" bestFit="1" customWidth="1"/>
    <col min="6" max="6" width="30.83203125" customWidth="1"/>
    <col min="7" max="7" width="27.75" bestFit="1" customWidth="1"/>
    <col min="8" max="8" width="8" customWidth="1"/>
    <col min="9" max="9" width="28.83203125" bestFit="1" customWidth="1"/>
    <col min="10" max="19" width="8" customWidth="1"/>
  </cols>
  <sheetData>
    <row r="2" spans="2:4">
      <c r="B2" s="2535" t="s">
        <v>695</v>
      </c>
      <c r="C2" s="2535"/>
      <c r="D2" s="2535"/>
    </row>
    <row r="3" spans="2:4">
      <c r="B3" s="2535"/>
      <c r="C3" s="2535"/>
      <c r="D3" s="2535"/>
    </row>
    <row r="4" spans="2:4" ht="18.5">
      <c r="B4" s="212"/>
      <c r="C4" s="2536"/>
      <c r="D4" s="2536"/>
    </row>
    <row r="5" spans="2:4" ht="18.5">
      <c r="B5" s="212" t="s">
        <v>295</v>
      </c>
      <c r="C5" s="2536">
        <v>43508</v>
      </c>
      <c r="D5" s="2536"/>
    </row>
    <row r="6" spans="2:4" ht="18.5">
      <c r="B6" s="212"/>
      <c r="C6" s="2537"/>
      <c r="D6" s="2537"/>
    </row>
    <row r="7" spans="2:4" ht="18.5">
      <c r="B7" s="212" t="s">
        <v>296</v>
      </c>
      <c r="C7" s="2537" t="s">
        <v>322</v>
      </c>
      <c r="D7" s="2537"/>
    </row>
    <row r="8" spans="2:4" ht="18.5">
      <c r="B8" s="212"/>
      <c r="C8" s="2537"/>
      <c r="D8" s="2537"/>
    </row>
    <row r="9" spans="2:4" ht="18.5">
      <c r="B9" s="212" t="s">
        <v>297</v>
      </c>
      <c r="C9" s="2537" t="s">
        <v>696</v>
      </c>
      <c r="D9" s="2537"/>
    </row>
    <row r="10" spans="2:4" ht="18.5">
      <c r="B10" s="212"/>
      <c r="C10" s="2537"/>
      <c r="D10" s="2537"/>
    </row>
    <row r="11" spans="2:4" ht="18.5">
      <c r="B11" s="212" t="s">
        <v>298</v>
      </c>
      <c r="C11" s="2537" t="s">
        <v>299</v>
      </c>
      <c r="D11" s="2537"/>
    </row>
    <row r="12" spans="2:4" ht="18.5">
      <c r="B12" s="212"/>
      <c r="C12" s="2537"/>
      <c r="D12" s="2537"/>
    </row>
    <row r="13" spans="2:4" ht="18.5">
      <c r="B13" s="212" t="s">
        <v>300</v>
      </c>
      <c r="C13" s="2538" t="s">
        <v>323</v>
      </c>
      <c r="D13" s="2539"/>
    </row>
    <row r="14" spans="2:4" ht="18.5">
      <c r="B14" s="212"/>
      <c r="C14" s="2537"/>
      <c r="D14" s="2537"/>
    </row>
    <row r="17" spans="1:17" ht="14.15" customHeight="1">
      <c r="A17" s="2529" t="s">
        <v>301</v>
      </c>
      <c r="B17" s="2530"/>
      <c r="C17" s="2530"/>
      <c r="D17" s="2530"/>
      <c r="E17" s="2530"/>
      <c r="F17" s="2530"/>
      <c r="G17" s="2530"/>
      <c r="H17" s="2530"/>
      <c r="I17" s="2531"/>
      <c r="J17" s="394"/>
      <c r="K17" s="394"/>
      <c r="L17" s="394"/>
      <c r="M17" s="394"/>
      <c r="N17" s="394"/>
      <c r="O17" s="394"/>
      <c r="P17" s="394"/>
      <c r="Q17" s="394"/>
    </row>
    <row r="18" spans="1:17" ht="14.15" customHeight="1">
      <c r="A18" s="2532"/>
      <c r="B18" s="2533"/>
      <c r="C18" s="2533"/>
      <c r="D18" s="2533"/>
      <c r="E18" s="2533"/>
      <c r="F18" s="2533"/>
      <c r="G18" s="2533"/>
      <c r="H18" s="2533"/>
      <c r="I18" s="2534"/>
      <c r="J18" s="394"/>
      <c r="K18" s="394"/>
      <c r="L18" s="394"/>
      <c r="M18" s="394"/>
      <c r="N18" s="394"/>
      <c r="O18" s="394"/>
      <c r="P18" s="394"/>
      <c r="Q18" s="394"/>
    </row>
    <row r="21" spans="1:17" ht="14.5">
      <c r="A21" s="2528" t="s">
        <v>302</v>
      </c>
      <c r="B21" s="2528" t="s">
        <v>303</v>
      </c>
      <c r="C21" s="2528"/>
      <c r="D21" s="2528" t="s">
        <v>304</v>
      </c>
      <c r="E21" s="2528"/>
      <c r="F21" s="2528"/>
      <c r="G21" s="2528" t="s">
        <v>305</v>
      </c>
      <c r="H21" s="2528"/>
      <c r="I21" s="2528"/>
    </row>
    <row r="22" spans="1:17" ht="14.5">
      <c r="A22" s="2528"/>
      <c r="B22" s="457" t="s">
        <v>307</v>
      </c>
      <c r="C22" s="457" t="s">
        <v>308</v>
      </c>
      <c r="D22" s="457" t="s">
        <v>309</v>
      </c>
      <c r="E22" s="458" t="s">
        <v>310</v>
      </c>
      <c r="F22" s="459" t="s">
        <v>311</v>
      </c>
      <c r="G22" s="457" t="s">
        <v>312</v>
      </c>
      <c r="H22" s="457" t="s">
        <v>313</v>
      </c>
      <c r="I22" s="457" t="s">
        <v>314</v>
      </c>
    </row>
    <row r="23" spans="1:17" ht="42">
      <c r="A23" s="398">
        <v>1</v>
      </c>
      <c r="B23" s="399" t="s">
        <v>316</v>
      </c>
      <c r="C23" s="398" t="s">
        <v>317</v>
      </c>
      <c r="D23" s="400" t="s">
        <v>625</v>
      </c>
      <c r="E23" s="395" t="s">
        <v>657</v>
      </c>
      <c r="F23" s="396" t="s">
        <v>658</v>
      </c>
      <c r="G23" s="398" t="s">
        <v>318</v>
      </c>
      <c r="H23" s="398">
        <v>1405</v>
      </c>
      <c r="I23" s="401" t="s">
        <v>319</v>
      </c>
    </row>
    <row r="24" spans="1:17" ht="42">
      <c r="A24" s="398">
        <v>3</v>
      </c>
      <c r="B24" s="399" t="s">
        <v>316</v>
      </c>
      <c r="C24" s="398" t="s">
        <v>317</v>
      </c>
      <c r="D24" s="400" t="s">
        <v>625</v>
      </c>
      <c r="E24" s="395" t="s">
        <v>626</v>
      </c>
      <c r="F24" s="396" t="s">
        <v>627</v>
      </c>
      <c r="G24" s="398" t="s">
        <v>628</v>
      </c>
      <c r="H24" s="398"/>
      <c r="I24" s="401" t="s">
        <v>629</v>
      </c>
    </row>
    <row r="25" spans="1:17" ht="42">
      <c r="A25" s="398">
        <v>4</v>
      </c>
      <c r="B25" s="399" t="s">
        <v>316</v>
      </c>
      <c r="C25" s="398" t="s">
        <v>317</v>
      </c>
      <c r="D25" s="400" t="s">
        <v>625</v>
      </c>
      <c r="E25" s="395" t="s">
        <v>630</v>
      </c>
      <c r="F25" s="396" t="s">
        <v>631</v>
      </c>
      <c r="G25" s="399" t="s">
        <v>632</v>
      </c>
      <c r="H25" s="398">
        <v>1217</v>
      </c>
      <c r="I25" s="401" t="s">
        <v>633</v>
      </c>
    </row>
    <row r="26" spans="1:17" ht="42">
      <c r="A26" s="398">
        <v>5</v>
      </c>
      <c r="B26" s="399" t="s">
        <v>316</v>
      </c>
      <c r="C26" s="398" t="s">
        <v>317</v>
      </c>
      <c r="D26" s="400" t="s">
        <v>625</v>
      </c>
      <c r="E26" s="395" t="s">
        <v>626</v>
      </c>
      <c r="F26" s="396" t="s">
        <v>634</v>
      </c>
      <c r="G26" s="399" t="s">
        <v>632</v>
      </c>
      <c r="H26" s="398">
        <v>1405</v>
      </c>
      <c r="I26" s="402" t="s">
        <v>635</v>
      </c>
    </row>
    <row r="27" spans="1:17" ht="42">
      <c r="A27" s="398">
        <v>6</v>
      </c>
      <c r="B27" s="400" t="s">
        <v>636</v>
      </c>
      <c r="C27" s="398" t="s">
        <v>317</v>
      </c>
      <c r="D27" s="400" t="s">
        <v>625</v>
      </c>
      <c r="E27" s="395" t="s">
        <v>659</v>
      </c>
      <c r="F27" s="396" t="s">
        <v>660</v>
      </c>
      <c r="G27" s="409" t="s">
        <v>320</v>
      </c>
      <c r="H27" s="398">
        <v>3257</v>
      </c>
      <c r="I27" s="403" t="s">
        <v>321</v>
      </c>
    </row>
    <row r="28" spans="1:17" ht="42">
      <c r="A28" s="398">
        <v>7</v>
      </c>
      <c r="B28" s="404" t="s">
        <v>637</v>
      </c>
      <c r="C28" s="398" t="s">
        <v>317</v>
      </c>
      <c r="D28" s="400" t="s">
        <v>625</v>
      </c>
      <c r="E28" s="395" t="s">
        <v>661</v>
      </c>
      <c r="F28" s="396" t="s">
        <v>662</v>
      </c>
      <c r="G28" s="409"/>
      <c r="H28" s="185"/>
      <c r="I28" s="405" t="s">
        <v>638</v>
      </c>
    </row>
    <row r="29" spans="1:17" ht="42">
      <c r="A29" s="398">
        <v>8</v>
      </c>
      <c r="B29" s="404" t="s">
        <v>639</v>
      </c>
      <c r="C29" s="398" t="s">
        <v>317</v>
      </c>
      <c r="D29" s="400" t="s">
        <v>625</v>
      </c>
      <c r="E29" s="395" t="s">
        <v>663</v>
      </c>
      <c r="F29" s="396" t="s">
        <v>664</v>
      </c>
      <c r="G29" s="404" t="s">
        <v>640</v>
      </c>
      <c r="H29" s="185"/>
      <c r="I29" s="406" t="s">
        <v>641</v>
      </c>
    </row>
    <row r="30" spans="1:17" ht="42">
      <c r="A30" s="398">
        <v>10</v>
      </c>
      <c r="B30" s="400" t="s">
        <v>643</v>
      </c>
      <c r="C30" s="398" t="s">
        <v>317</v>
      </c>
      <c r="D30" s="400" t="s">
        <v>625</v>
      </c>
      <c r="E30" s="395" t="s">
        <v>665</v>
      </c>
      <c r="F30" s="396" t="s">
        <v>666</v>
      </c>
      <c r="G30" s="400" t="s">
        <v>644</v>
      </c>
      <c r="H30" s="185"/>
      <c r="I30" s="407" t="s">
        <v>645</v>
      </c>
    </row>
    <row r="31" spans="1:17" ht="28">
      <c r="A31" s="398">
        <v>11</v>
      </c>
      <c r="B31" s="400" t="s">
        <v>643</v>
      </c>
      <c r="C31" s="398" t="s">
        <v>317</v>
      </c>
      <c r="D31" s="400" t="s">
        <v>646</v>
      </c>
      <c r="E31" s="395" t="s">
        <v>667</v>
      </c>
      <c r="F31" s="396" t="s">
        <v>668</v>
      </c>
      <c r="G31" s="400" t="s">
        <v>647</v>
      </c>
      <c r="H31" s="185"/>
      <c r="I31" s="407" t="s">
        <v>648</v>
      </c>
    </row>
    <row r="32" spans="1:17" ht="42">
      <c r="A32" s="398">
        <v>12</v>
      </c>
      <c r="B32" s="400" t="s">
        <v>643</v>
      </c>
      <c r="C32" s="398" t="s">
        <v>317</v>
      </c>
      <c r="D32" s="400" t="s">
        <v>649</v>
      </c>
      <c r="E32" s="395" t="s">
        <v>669</v>
      </c>
      <c r="F32" s="396" t="s">
        <v>670</v>
      </c>
      <c r="G32" s="400" t="s">
        <v>644</v>
      </c>
      <c r="H32" s="185"/>
      <c r="I32" s="407" t="s">
        <v>650</v>
      </c>
    </row>
    <row r="33" spans="1:9" ht="56">
      <c r="A33" s="398">
        <v>13</v>
      </c>
      <c r="B33" s="400" t="s">
        <v>636</v>
      </c>
      <c r="C33" s="398" t="s">
        <v>317</v>
      </c>
      <c r="D33" s="400" t="s">
        <v>651</v>
      </c>
      <c r="E33" s="395" t="s">
        <v>671</v>
      </c>
      <c r="F33" s="396" t="s">
        <v>672</v>
      </c>
      <c r="G33" s="400">
        <v>959250781</v>
      </c>
      <c r="H33" s="185"/>
      <c r="I33" s="407" t="s">
        <v>642</v>
      </c>
    </row>
    <row r="34" spans="1:9" ht="56">
      <c r="A34" s="398">
        <v>14</v>
      </c>
      <c r="B34" s="400" t="s">
        <v>636</v>
      </c>
      <c r="C34" s="398" t="s">
        <v>317</v>
      </c>
      <c r="D34" s="400" t="s">
        <v>651</v>
      </c>
      <c r="E34" s="395" t="s">
        <v>673</v>
      </c>
      <c r="F34" s="396" t="s">
        <v>674</v>
      </c>
      <c r="G34" s="400" t="s">
        <v>652</v>
      </c>
      <c r="H34" s="185"/>
      <c r="I34" s="407" t="s">
        <v>653</v>
      </c>
    </row>
    <row r="35" spans="1:9" ht="56">
      <c r="A35" s="398">
        <v>15</v>
      </c>
      <c r="B35" s="400" t="s">
        <v>636</v>
      </c>
      <c r="C35" s="398" t="s">
        <v>317</v>
      </c>
      <c r="D35" s="400" t="s">
        <v>651</v>
      </c>
      <c r="E35" s="395" t="s">
        <v>675</v>
      </c>
      <c r="F35" s="396" t="s">
        <v>676</v>
      </c>
      <c r="G35" s="400" t="s">
        <v>652</v>
      </c>
      <c r="H35" s="185"/>
      <c r="I35" s="407" t="s">
        <v>654</v>
      </c>
    </row>
    <row r="36" spans="1:9" ht="56">
      <c r="A36" s="398">
        <v>16</v>
      </c>
      <c r="B36" s="400" t="s">
        <v>636</v>
      </c>
      <c r="C36" s="398" t="s">
        <v>317</v>
      </c>
      <c r="D36" s="400" t="s">
        <v>651</v>
      </c>
      <c r="E36" s="395" t="s">
        <v>677</v>
      </c>
      <c r="F36" s="397" t="s">
        <v>678</v>
      </c>
      <c r="G36" s="400" t="s">
        <v>655</v>
      </c>
      <c r="H36" s="185"/>
      <c r="I36" s="408" t="s">
        <v>656</v>
      </c>
    </row>
  </sheetData>
  <mergeCells count="17">
    <mergeCell ref="C14:D14"/>
    <mergeCell ref="C8:D8"/>
    <mergeCell ref="C9:D9"/>
    <mergeCell ref="C10:D10"/>
    <mergeCell ref="C11:D11"/>
    <mergeCell ref="C12:D12"/>
    <mergeCell ref="C13:D13"/>
    <mergeCell ref="B2:D3"/>
    <mergeCell ref="C4:D4"/>
    <mergeCell ref="C5:D5"/>
    <mergeCell ref="C6:D6"/>
    <mergeCell ref="C7:D7"/>
    <mergeCell ref="A21:A22"/>
    <mergeCell ref="B21:C21"/>
    <mergeCell ref="D21:F21"/>
    <mergeCell ref="G21:I21"/>
    <mergeCell ref="A17:I18"/>
  </mergeCells>
  <dataValidations count="1">
    <dataValidation type="list" allowBlank="1" showInputMessage="1" showErrorMessage="1" sqref="C23:C36" xr:uid="{00000000-0002-0000-0600-000000000000}">
      <formula1>#REF!</formula1>
      <formula2>0</formula2>
    </dataValidation>
  </dataValidations>
  <hyperlinks>
    <hyperlink ref="C13" r:id="rId1" xr:uid="{00000000-0004-0000-0600-000000000000}"/>
    <hyperlink ref="I23" r:id="rId2" xr:uid="{00000000-0004-0000-0600-000001000000}"/>
    <hyperlink ref="I27" r:id="rId3" xr:uid="{00000000-0004-0000-0600-000002000000}"/>
    <hyperlink ref="I28" r:id="rId4" xr:uid="{00000000-0004-0000-0600-000003000000}"/>
    <hyperlink ref="I29" r:id="rId5" xr:uid="{00000000-0004-0000-0600-000004000000}"/>
    <hyperlink ref="I30" r:id="rId6" xr:uid="{00000000-0004-0000-0600-000005000000}"/>
    <hyperlink ref="I31" r:id="rId7" xr:uid="{00000000-0004-0000-0600-000006000000}"/>
    <hyperlink ref="I32" r:id="rId8" xr:uid="{00000000-0004-0000-0600-000007000000}"/>
    <hyperlink ref="I33" r:id="rId9" xr:uid="{00000000-0004-0000-0600-000008000000}"/>
    <hyperlink ref="I34" r:id="rId10" xr:uid="{00000000-0004-0000-0600-000009000000}"/>
    <hyperlink ref="I35" r:id="rId11" xr:uid="{00000000-0004-0000-0600-00000A000000}"/>
    <hyperlink ref="I36" r:id="rId12" xr:uid="{00000000-0004-0000-0600-00000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CD185"/>
  <sheetViews>
    <sheetView showGridLines="0" topLeftCell="M153" zoomScale="60" zoomScaleNormal="60" workbookViewId="0">
      <selection activeCell="S143" sqref="S143"/>
    </sheetView>
  </sheetViews>
  <sheetFormatPr defaultColWidth="10.6640625" defaultRowHeight="14"/>
  <cols>
    <col min="2" max="2" width="3.33203125" style="7" customWidth="1"/>
    <col min="3" max="3" width="23.33203125" style="7" customWidth="1"/>
    <col min="4" max="4" width="19.83203125" style="7" customWidth="1"/>
    <col min="5" max="6" width="10.58203125" style="7" customWidth="1"/>
    <col min="7" max="7" width="12.25" style="7" customWidth="1"/>
    <col min="8" max="8" width="9.9140625" style="7" customWidth="1"/>
    <col min="9" max="15" width="10.58203125" style="7" customWidth="1"/>
    <col min="16" max="16" width="12.83203125" style="7" customWidth="1"/>
    <col min="17" max="18" width="10.58203125" style="7" customWidth="1"/>
    <col min="19" max="19" width="12.83203125" style="7" customWidth="1"/>
    <col min="20" max="20" width="12" style="7" customWidth="1"/>
    <col min="21" max="21" width="12.08203125" style="7" customWidth="1"/>
    <col min="22" max="22" width="13.08203125" style="7" customWidth="1"/>
    <col min="23" max="23" width="11.75" style="7" customWidth="1"/>
    <col min="24" max="24" width="10.83203125" style="7" customWidth="1"/>
    <col min="25" max="25" width="13.6640625" style="7" customWidth="1"/>
    <col min="26" max="28" width="10.75" style="7" customWidth="1"/>
    <col min="29" max="29" width="13.5" style="7" customWidth="1"/>
    <col min="30" max="30" width="12.6640625" style="7" customWidth="1"/>
    <col min="31" max="31" width="14.33203125" style="807" customWidth="1"/>
    <col min="32" max="32" width="10.5" style="7" customWidth="1"/>
    <col min="33" max="33" width="13" style="7" customWidth="1"/>
    <col min="34" max="34" width="13.4140625" style="7" customWidth="1"/>
    <col min="35" max="35" width="10.5" style="7" customWidth="1"/>
    <col min="36" max="36" width="11.5" style="7" customWidth="1"/>
    <col min="37" max="37" width="12" style="7" customWidth="1"/>
    <col min="38" max="81" width="10.5" style="7" customWidth="1"/>
  </cols>
  <sheetData>
    <row r="1" spans="2:81" ht="18.5">
      <c r="B1" s="2558" t="s">
        <v>324</v>
      </c>
      <c r="C1" s="2558"/>
      <c r="D1" s="2558"/>
      <c r="E1" s="2558"/>
      <c r="F1" s="2558"/>
      <c r="G1"/>
      <c r="H1"/>
      <c r="I1"/>
      <c r="J1"/>
      <c r="K1"/>
      <c r="L1"/>
      <c r="M1"/>
      <c r="N1"/>
      <c r="O1"/>
      <c r="P1"/>
      <c r="Q1"/>
      <c r="R1"/>
      <c r="S1"/>
      <c r="T1"/>
      <c r="U1"/>
      <c r="V1"/>
      <c r="W1"/>
      <c r="X1"/>
      <c r="Y1"/>
      <c r="Z1"/>
      <c r="AA1"/>
      <c r="AB1"/>
      <c r="AC1"/>
      <c r="AD1"/>
      <c r="AE1" s="559"/>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row>
    <row r="2" spans="2:81" ht="18.5" customHeight="1">
      <c r="B2" s="213"/>
      <c r="C2" s="2561" t="s">
        <v>2379</v>
      </c>
      <c r="D2" s="2562"/>
      <c r="E2" s="2562"/>
      <c r="F2" s="2563"/>
      <c r="G2"/>
      <c r="H2" s="643" t="s">
        <v>898</v>
      </c>
      <c r="I2"/>
      <c r="J2"/>
      <c r="K2"/>
      <c r="L2"/>
      <c r="M2"/>
      <c r="N2"/>
      <c r="O2"/>
      <c r="P2"/>
      <c r="Q2"/>
      <c r="R2"/>
      <c r="S2"/>
      <c r="T2"/>
      <c r="U2"/>
      <c r="V2"/>
      <c r="W2"/>
      <c r="X2"/>
      <c r="Y2"/>
      <c r="Z2"/>
      <c r="AA2"/>
      <c r="AB2"/>
      <c r="AC2"/>
      <c r="AD2"/>
      <c r="AE2" s="559"/>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row>
    <row r="3" spans="2:81" ht="14.5">
      <c r="B3" s="213"/>
      <c r="C3" s="2564"/>
      <c r="D3" s="2565"/>
      <c r="E3" s="2565"/>
      <c r="F3" s="2566"/>
      <c r="G3"/>
      <c r="H3"/>
      <c r="I3"/>
      <c r="J3"/>
      <c r="K3"/>
      <c r="L3"/>
      <c r="M3"/>
      <c r="N3"/>
      <c r="O3"/>
      <c r="P3"/>
      <c r="Q3"/>
      <c r="R3"/>
      <c r="S3"/>
      <c r="T3"/>
      <c r="U3"/>
      <c r="V3"/>
      <c r="W3"/>
      <c r="X3"/>
      <c r="Y3"/>
      <c r="Z3"/>
      <c r="AA3"/>
      <c r="AB3"/>
      <c r="AC3"/>
      <c r="AD3"/>
      <c r="AE3" s="559"/>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row>
    <row r="4" spans="2:81" ht="14.5">
      <c r="B4" s="213"/>
      <c r="C4" s="2564"/>
      <c r="D4" s="2565"/>
      <c r="E4" s="2565"/>
      <c r="F4" s="2566"/>
      <c r="G4"/>
      <c r="H4"/>
      <c r="I4"/>
      <c r="J4"/>
      <c r="K4"/>
      <c r="L4"/>
      <c r="M4"/>
      <c r="N4"/>
      <c r="O4"/>
      <c r="P4"/>
      <c r="Q4"/>
      <c r="R4"/>
      <c r="S4"/>
      <c r="T4"/>
      <c r="U4"/>
      <c r="V4"/>
      <c r="W4"/>
      <c r="X4"/>
      <c r="Y4"/>
      <c r="Z4"/>
      <c r="AA4"/>
      <c r="AB4"/>
      <c r="AC4"/>
      <c r="AD4"/>
      <c r="AE4" s="559"/>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row>
    <row r="5" spans="2:81" ht="14.5">
      <c r="B5" s="213"/>
      <c r="C5" s="2567"/>
      <c r="D5" s="2568"/>
      <c r="E5" s="2568"/>
      <c r="F5" s="2569"/>
      <c r="G5"/>
      <c r="H5"/>
      <c r="I5"/>
      <c r="J5"/>
      <c r="K5"/>
      <c r="L5"/>
      <c r="M5"/>
      <c r="N5"/>
      <c r="O5"/>
      <c r="P5"/>
      <c r="Q5"/>
      <c r="R5"/>
      <c r="S5"/>
      <c r="T5"/>
      <c r="U5"/>
      <c r="V5"/>
      <c r="W5"/>
      <c r="X5"/>
      <c r="Y5"/>
      <c r="Z5"/>
      <c r="AA5"/>
      <c r="AB5"/>
      <c r="AC5"/>
      <c r="AD5"/>
      <c r="AE5" s="559"/>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row>
    <row r="7" spans="2:81" ht="18.5">
      <c r="B7" s="2559"/>
      <c r="C7" s="2559"/>
      <c r="D7" s="2559"/>
      <c r="E7" s="2559"/>
      <c r="F7" s="2559"/>
      <c r="G7" s="2559" t="s">
        <v>326</v>
      </c>
      <c r="H7" s="2559"/>
      <c r="I7" s="2559"/>
      <c r="J7" s="2559"/>
      <c r="K7" s="2559"/>
      <c r="L7" s="2559" t="s">
        <v>326</v>
      </c>
      <c r="M7" s="2559"/>
      <c r="N7" s="2559"/>
      <c r="O7" s="2559"/>
      <c r="P7" s="2559"/>
      <c r="Q7" s="2559" t="s">
        <v>326</v>
      </c>
      <c r="R7" s="2559"/>
      <c r="S7" s="2559"/>
      <c r="T7" s="2559"/>
      <c r="U7" s="2559"/>
      <c r="V7" s="2560" t="s">
        <v>326</v>
      </c>
      <c r="W7" s="2560"/>
      <c r="X7" s="2560"/>
      <c r="Y7" s="2560"/>
      <c r="Z7" s="2560"/>
      <c r="AA7" s="2560"/>
      <c r="AB7" s="2560"/>
      <c r="AC7" s="2560"/>
      <c r="AD7" s="2560"/>
      <c r="AE7" s="2560"/>
      <c r="AF7" s="2560"/>
      <c r="AG7" s="2560"/>
      <c r="AH7" s="2560"/>
      <c r="AI7" s="2560"/>
      <c r="AJ7" s="2560"/>
      <c r="AK7" s="2560"/>
      <c r="AL7" s="2560"/>
      <c r="AM7" s="2560"/>
      <c r="AN7" s="2560"/>
      <c r="AO7" s="2560"/>
      <c r="AP7" s="2560"/>
      <c r="AQ7" s="2560"/>
      <c r="AR7" s="214"/>
      <c r="AS7" s="214"/>
      <c r="AT7" s="214"/>
      <c r="AU7" s="214"/>
      <c r="AV7" s="214"/>
      <c r="AW7" s="214"/>
      <c r="AX7" s="214"/>
      <c r="AY7" s="214"/>
      <c r="AZ7" s="214"/>
      <c r="BA7" s="214"/>
      <c r="BB7" s="214"/>
      <c r="BC7" s="214"/>
      <c r="BD7" s="214"/>
      <c r="BE7" s="214"/>
      <c r="BF7" s="214"/>
      <c r="BG7" s="214"/>
      <c r="BH7" s="214"/>
      <c r="BI7" s="214"/>
      <c r="BJ7" s="214"/>
      <c r="BK7" s="214"/>
      <c r="BL7" s="214"/>
      <c r="BM7" s="214"/>
      <c r="BN7" s="214"/>
      <c r="BO7" s="214"/>
      <c r="BP7" s="214"/>
      <c r="BQ7" s="214"/>
      <c r="BR7" s="214"/>
      <c r="BS7" s="214"/>
      <c r="BT7" s="214"/>
      <c r="BU7" s="214"/>
      <c r="BV7" s="214"/>
      <c r="BW7" s="214"/>
      <c r="BX7" s="214"/>
      <c r="BY7" s="214"/>
      <c r="BZ7" s="214"/>
      <c r="CA7"/>
      <c r="CB7"/>
      <c r="CC7"/>
    </row>
    <row r="8" spans="2:81" ht="18.5">
      <c r="B8" s="2559"/>
      <c r="C8" s="2559"/>
      <c r="D8" s="2559"/>
      <c r="E8" s="2559"/>
      <c r="F8" s="2559"/>
      <c r="G8" s="2559"/>
      <c r="H8" s="2559"/>
      <c r="I8" s="2559"/>
      <c r="J8" s="2559"/>
      <c r="K8" s="2559"/>
      <c r="L8" s="2559"/>
      <c r="M8" s="2559"/>
      <c r="N8" s="2559"/>
      <c r="O8" s="2559"/>
      <c r="P8" s="2559"/>
      <c r="Q8" s="2559"/>
      <c r="R8" s="2559"/>
      <c r="S8" s="2559"/>
      <c r="T8" s="2559"/>
      <c r="U8" s="2559"/>
      <c r="V8" s="2560"/>
      <c r="W8" s="2560"/>
      <c r="X8" s="2560"/>
      <c r="Y8" s="2560"/>
      <c r="Z8" s="2560"/>
      <c r="AA8" s="2560"/>
      <c r="AB8" s="2560"/>
      <c r="AC8" s="2560"/>
      <c r="AD8" s="2560"/>
      <c r="AE8" s="2560"/>
      <c r="AF8" s="2560"/>
      <c r="AG8" s="2560"/>
      <c r="AH8" s="2560"/>
      <c r="AI8" s="2560"/>
      <c r="AJ8" s="2560"/>
      <c r="AK8" s="2560"/>
      <c r="AL8" s="2560"/>
      <c r="AM8" s="2560"/>
      <c r="AN8" s="2560"/>
      <c r="AO8" s="2560"/>
      <c r="AP8" s="2560"/>
      <c r="AQ8" s="2560"/>
      <c r="AR8" s="214"/>
      <c r="AS8" s="214"/>
      <c r="AT8" s="214"/>
      <c r="AU8" s="214"/>
      <c r="AV8" s="214"/>
      <c r="AW8" s="214"/>
      <c r="AX8" s="214"/>
      <c r="AY8" s="214"/>
      <c r="AZ8" s="214"/>
      <c r="BA8" s="214"/>
      <c r="BB8" s="214"/>
      <c r="BC8" s="214"/>
      <c r="BD8" s="214"/>
      <c r="BE8" s="214"/>
      <c r="BF8" s="214"/>
      <c r="BG8" s="214"/>
      <c r="BH8" s="214"/>
      <c r="BI8" s="214"/>
      <c r="BJ8" s="214"/>
      <c r="BK8" s="214"/>
      <c r="BL8" s="214"/>
      <c r="BM8" s="214"/>
      <c r="BN8" s="214"/>
      <c r="BO8" s="214"/>
      <c r="BP8" s="214"/>
      <c r="BQ8" s="214"/>
      <c r="BR8" s="214"/>
      <c r="BS8" s="214"/>
      <c r="BT8" s="214"/>
      <c r="BU8" s="214"/>
      <c r="BV8" s="214"/>
      <c r="BW8" s="214"/>
      <c r="BX8" s="214"/>
      <c r="BY8" s="214"/>
      <c r="BZ8" s="214"/>
      <c r="CA8"/>
      <c r="CB8"/>
      <c r="CC8"/>
    </row>
    <row r="9" spans="2:81">
      <c r="B9"/>
      <c r="C9"/>
      <c r="D9"/>
      <c r="E9"/>
      <c r="F9"/>
      <c r="G9"/>
      <c r="H9"/>
      <c r="I9"/>
      <c r="J9"/>
      <c r="K9"/>
      <c r="L9"/>
      <c r="M9" s="618"/>
      <c r="N9"/>
      <c r="O9"/>
      <c r="P9"/>
      <c r="Q9"/>
      <c r="R9"/>
      <c r="S9"/>
      <c r="T9"/>
      <c r="U9"/>
      <c r="V9"/>
      <c r="W9"/>
      <c r="X9"/>
      <c r="Y9"/>
      <c r="Z9"/>
      <c r="AA9"/>
      <c r="AB9"/>
      <c r="AC9"/>
      <c r="AD9"/>
      <c r="AE9" s="55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row>
    <row r="10" spans="2:81">
      <c r="B10"/>
      <c r="C10"/>
      <c r="D10"/>
      <c r="E10" s="245"/>
      <c r="F10"/>
      <c r="G10"/>
      <c r="H10"/>
      <c r="I10"/>
      <c r="J10"/>
      <c r="K10" s="618"/>
      <c r="L10" s="618"/>
      <c r="M10" s="618"/>
      <c r="N10"/>
      <c r="O10"/>
      <c r="P10"/>
      <c r="Q10"/>
      <c r="R10"/>
      <c r="S10"/>
      <c r="T10"/>
      <c r="U10"/>
      <c r="V10"/>
      <c r="W10"/>
      <c r="X10"/>
      <c r="Y10"/>
      <c r="Z10"/>
      <c r="AA10"/>
      <c r="AB10"/>
      <c r="AC10"/>
      <c r="AD10"/>
      <c r="AE10" s="559"/>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row>
    <row r="11" spans="2:81" ht="18.5">
      <c r="C11" s="2554" t="s">
        <v>0</v>
      </c>
      <c r="D11" s="2555"/>
      <c r="E11" s="799" t="s">
        <v>327</v>
      </c>
      <c r="F11" s="800"/>
      <c r="G11" s="800"/>
      <c r="H11" s="800"/>
      <c r="I11" s="800"/>
      <c r="J11" s="800"/>
      <c r="K11" s="800"/>
      <c r="L11" s="800"/>
      <c r="M11" s="800"/>
      <c r="N11" s="800"/>
      <c r="O11" s="800"/>
      <c r="P11" s="800"/>
      <c r="Q11" s="801"/>
      <c r="R11" s="348"/>
      <c r="S11" s="348"/>
      <c r="T11" s="348"/>
      <c r="U11" s="348"/>
      <c r="V11" s="348"/>
      <c r="W11" s="348"/>
      <c r="X11" s="348"/>
      <c r="Y11"/>
      <c r="Z11"/>
      <c r="AA11"/>
      <c r="AB11"/>
      <c r="AC11"/>
      <c r="AD11"/>
      <c r="AE11" s="559"/>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row>
    <row r="12" spans="2:81" ht="14.5">
      <c r="C12" s="2554" t="s">
        <v>1166</v>
      </c>
      <c r="D12" s="2555"/>
      <c r="E12" s="2544">
        <v>1994</v>
      </c>
      <c r="F12" s="2546"/>
      <c r="G12" s="2544">
        <v>2000</v>
      </c>
      <c r="H12" s="2546"/>
      <c r="I12" s="2544">
        <v>2006</v>
      </c>
      <c r="J12" s="2546"/>
      <c r="K12" s="2544">
        <v>2010</v>
      </c>
      <c r="L12" s="2546"/>
      <c r="M12" s="2544">
        <v>2012</v>
      </c>
      <c r="N12" s="2546"/>
      <c r="O12" s="2544">
        <v>2014</v>
      </c>
      <c r="P12" s="2546"/>
      <c r="Q12" s="2544">
        <v>2016</v>
      </c>
      <c r="R12" s="2546"/>
      <c r="S12" s="2544">
        <v>2018</v>
      </c>
      <c r="T12" s="2546"/>
      <c r="U12" s="2544">
        <v>2020</v>
      </c>
      <c r="V12" s="2546"/>
      <c r="W12" s="2544">
        <v>2021</v>
      </c>
      <c r="X12" s="2546"/>
      <c r="Y12" s="2544">
        <v>2022</v>
      </c>
      <c r="Z12" s="2546"/>
      <c r="AA12"/>
      <c r="AB12"/>
      <c r="AC12"/>
      <c r="AD12"/>
      <c r="AE12" s="559"/>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row>
    <row r="13" spans="2:81" ht="15" thickBot="1">
      <c r="C13" s="2556"/>
      <c r="D13" s="2557"/>
      <c r="E13" s="235" t="s">
        <v>3</v>
      </c>
      <c r="F13" s="235" t="s">
        <v>36</v>
      </c>
      <c r="G13" s="235" t="s">
        <v>3</v>
      </c>
      <c r="H13" s="235" t="s">
        <v>36</v>
      </c>
      <c r="I13" s="235" t="s">
        <v>3</v>
      </c>
      <c r="J13" s="235" t="s">
        <v>36</v>
      </c>
      <c r="K13" s="235" t="s">
        <v>3</v>
      </c>
      <c r="L13" s="235" t="s">
        <v>36</v>
      </c>
      <c r="M13" s="235" t="s">
        <v>3</v>
      </c>
      <c r="N13" s="235" t="s">
        <v>36</v>
      </c>
      <c r="O13" s="235" t="s">
        <v>3</v>
      </c>
      <c r="P13" s="235" t="s">
        <v>36</v>
      </c>
      <c r="Q13" s="235" t="s">
        <v>3</v>
      </c>
      <c r="R13" s="235" t="s">
        <v>36</v>
      </c>
      <c r="S13" s="235" t="s">
        <v>3</v>
      </c>
      <c r="T13" s="235" t="s">
        <v>36</v>
      </c>
      <c r="U13" s="235" t="s">
        <v>3</v>
      </c>
      <c r="V13" s="235" t="s">
        <v>36</v>
      </c>
      <c r="W13" s="235" t="s">
        <v>3</v>
      </c>
      <c r="X13" s="235" t="s">
        <v>36</v>
      </c>
      <c r="Y13" s="235" t="s">
        <v>3</v>
      </c>
      <c r="Z13" s="235" t="s">
        <v>36</v>
      </c>
      <c r="AA13"/>
      <c r="AB13"/>
      <c r="AC13"/>
      <c r="AD13"/>
      <c r="AE13" s="559"/>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row>
    <row r="14" spans="2:81" ht="15.5" thickTop="1" thickBot="1">
      <c r="B14" s="2549" t="s">
        <v>1201</v>
      </c>
      <c r="C14" s="803" t="s">
        <v>21</v>
      </c>
      <c r="D14" s="802" t="s">
        <v>1196</v>
      </c>
      <c r="E14" s="215" t="s">
        <v>1200</v>
      </c>
      <c r="F14" s="239">
        <v>574414.58071087091</v>
      </c>
      <c r="G14" s="215" t="s">
        <v>1203</v>
      </c>
      <c r="H14" s="239">
        <v>626104.0480440805</v>
      </c>
      <c r="I14" s="215" t="s">
        <v>62</v>
      </c>
      <c r="J14" s="239">
        <v>594479</v>
      </c>
      <c r="K14" s="216" t="s">
        <v>69</v>
      </c>
      <c r="L14" s="240">
        <v>702076</v>
      </c>
      <c r="M14" s="216" t="s">
        <v>75</v>
      </c>
      <c r="N14" s="240">
        <v>674076.85402459593</v>
      </c>
      <c r="O14" s="216" t="s">
        <v>404</v>
      </c>
      <c r="P14" s="240">
        <v>630175.66361103463</v>
      </c>
      <c r="Q14" s="216" t="s">
        <v>1222</v>
      </c>
      <c r="R14" s="731">
        <v>570270.14012766443</v>
      </c>
      <c r="S14" s="216" t="s">
        <v>1224</v>
      </c>
      <c r="T14" s="731">
        <v>522643.96630611242</v>
      </c>
      <c r="U14" s="216" t="s">
        <v>1226</v>
      </c>
      <c r="V14" s="731">
        <v>616168.02428477048</v>
      </c>
      <c r="W14" s="216" t="s">
        <v>1243</v>
      </c>
      <c r="X14" s="731">
        <v>564165.51241775067</v>
      </c>
      <c r="Y14" s="216" t="s">
        <v>1250</v>
      </c>
      <c r="Z14" s="731">
        <v>545149.32082234567</v>
      </c>
      <c r="AA14"/>
      <c r="AB14"/>
      <c r="AC14"/>
      <c r="AD14"/>
      <c r="AE14" s="559"/>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row>
    <row r="15" spans="2:81" ht="15.5" thickTop="1" thickBot="1">
      <c r="B15" s="2550"/>
      <c r="C15" s="803"/>
      <c r="D15" s="802" t="s">
        <v>1197</v>
      </c>
      <c r="E15" s="215" t="s">
        <v>1200</v>
      </c>
      <c r="F15" s="239">
        <v>263584.92444860103</v>
      </c>
      <c r="G15" s="215" t="s">
        <v>1203</v>
      </c>
      <c r="H15" s="239">
        <v>241691.91511582601</v>
      </c>
      <c r="I15" s="215" t="s">
        <v>1208</v>
      </c>
      <c r="J15" s="239">
        <v>272792</v>
      </c>
      <c r="K15" s="216" t="s">
        <v>1214</v>
      </c>
      <c r="L15" s="240">
        <v>271019</v>
      </c>
      <c r="M15" s="216" t="s">
        <v>1218</v>
      </c>
      <c r="N15" s="240">
        <v>280034.86760085757</v>
      </c>
      <c r="O15" s="216" t="s">
        <v>404</v>
      </c>
      <c r="P15" s="240">
        <v>280963.6876019988</v>
      </c>
      <c r="Q15" s="216" t="s">
        <v>1222</v>
      </c>
      <c r="R15" s="731">
        <v>271362.47928744985</v>
      </c>
      <c r="S15" s="216" t="s">
        <v>1224</v>
      </c>
      <c r="T15" s="731">
        <v>262262.60745905043</v>
      </c>
      <c r="U15" s="216" t="s">
        <v>1226</v>
      </c>
      <c r="V15" s="731">
        <v>291374.79433445458</v>
      </c>
      <c r="W15" s="216" t="s">
        <v>1243</v>
      </c>
      <c r="X15" s="731">
        <v>236336.44232721263</v>
      </c>
      <c r="Y15" s="216" t="s">
        <v>1250</v>
      </c>
      <c r="Z15" s="731">
        <v>226251.09639695089</v>
      </c>
      <c r="AA15"/>
      <c r="AB15"/>
      <c r="AC15"/>
      <c r="AD15"/>
      <c r="AE15" s="559"/>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row>
    <row r="16" spans="2:81" ht="15.5" thickTop="1" thickBot="1">
      <c r="B16" s="2550"/>
      <c r="C16" s="803"/>
      <c r="D16" s="802" t="s">
        <v>1198</v>
      </c>
      <c r="E16" s="215" t="s">
        <v>1200</v>
      </c>
      <c r="F16" s="239">
        <v>119692.12933744962</v>
      </c>
      <c r="G16" s="215" t="s">
        <v>1203</v>
      </c>
      <c r="H16" s="239">
        <v>103239.80214381218</v>
      </c>
      <c r="I16" s="215" t="s">
        <v>1209</v>
      </c>
      <c r="J16" s="239">
        <v>123873</v>
      </c>
      <c r="K16" s="216" t="s">
        <v>1215</v>
      </c>
      <c r="L16" s="240">
        <v>115767</v>
      </c>
      <c r="M16" s="216" t="s">
        <v>1219</v>
      </c>
      <c r="N16" s="240">
        <v>99199.327769423558</v>
      </c>
      <c r="O16" s="216" t="s">
        <v>404</v>
      </c>
      <c r="P16" s="240">
        <v>68708.592686999924</v>
      </c>
      <c r="Q16" s="216" t="s">
        <v>1222</v>
      </c>
      <c r="R16" s="731">
        <v>54537.494757298926</v>
      </c>
      <c r="S16" s="216" t="s">
        <v>1224</v>
      </c>
      <c r="T16" s="731">
        <v>47621.018911879481</v>
      </c>
      <c r="U16" s="216" t="s">
        <v>1226</v>
      </c>
      <c r="V16" s="731">
        <v>54977.432329219897</v>
      </c>
      <c r="W16" s="216" t="s">
        <v>1243</v>
      </c>
      <c r="X16" s="731">
        <v>46212.781195036419</v>
      </c>
      <c r="Y16" s="216" t="s">
        <v>1250</v>
      </c>
      <c r="Z16" s="731">
        <v>43664.110648336376</v>
      </c>
      <c r="AA16"/>
      <c r="AB16"/>
      <c r="AC16"/>
      <c r="AD16"/>
      <c r="AE16" s="559"/>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row>
    <row r="17" spans="2:81" ht="15.5" thickTop="1" thickBot="1">
      <c r="B17" s="2550"/>
      <c r="C17" s="803" t="s">
        <v>887</v>
      </c>
      <c r="D17" s="802" t="s">
        <v>1196</v>
      </c>
      <c r="E17" s="215" t="s">
        <v>1200</v>
      </c>
      <c r="F17" s="239">
        <v>334787.00945286523</v>
      </c>
      <c r="G17" s="215" t="s">
        <v>1204</v>
      </c>
      <c r="H17" s="239">
        <v>254082.67143367429</v>
      </c>
      <c r="I17" s="215" t="s">
        <v>63</v>
      </c>
      <c r="J17" s="239">
        <v>215034</v>
      </c>
      <c r="K17" s="216" t="s">
        <v>70</v>
      </c>
      <c r="L17" s="240">
        <v>199819</v>
      </c>
      <c r="M17" s="216" t="s">
        <v>76</v>
      </c>
      <c r="N17" s="240">
        <v>176888.93294677488</v>
      </c>
      <c r="O17" s="216" t="s">
        <v>405</v>
      </c>
      <c r="P17" s="240">
        <v>179616.91184519223</v>
      </c>
      <c r="Q17" s="216" t="s">
        <v>1223</v>
      </c>
      <c r="R17" s="731">
        <v>149944.77394886376</v>
      </c>
      <c r="S17" s="216" t="s">
        <v>1225</v>
      </c>
      <c r="T17" s="731">
        <v>153765.65032782167</v>
      </c>
      <c r="U17" s="216" t="s">
        <v>1227</v>
      </c>
      <c r="V17" s="731">
        <v>179622.35030501077</v>
      </c>
      <c r="W17" s="216" t="s">
        <v>1244</v>
      </c>
      <c r="X17" s="731">
        <v>159223.00316221139</v>
      </c>
      <c r="Y17" s="216" t="s">
        <v>1251</v>
      </c>
      <c r="Z17" s="731">
        <v>157756.5390660532</v>
      </c>
      <c r="AA17"/>
      <c r="AB17"/>
      <c r="AC17"/>
      <c r="AD17"/>
      <c r="AE17" s="559"/>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row>
    <row r="18" spans="2:81" ht="15.5" thickTop="1" thickBot="1">
      <c r="B18" s="2550"/>
      <c r="C18" s="803"/>
      <c r="D18" s="802" t="s">
        <v>1197</v>
      </c>
      <c r="E18" s="215" t="s">
        <v>1200</v>
      </c>
      <c r="F18" s="239">
        <v>111373.0327353382</v>
      </c>
      <c r="G18" s="215" t="s">
        <v>1204</v>
      </c>
      <c r="H18" s="239">
        <v>109983.93879288585</v>
      </c>
      <c r="I18" s="215" t="s">
        <v>1210</v>
      </c>
      <c r="J18" s="239">
        <v>71535</v>
      </c>
      <c r="K18" s="216" t="s">
        <v>1216</v>
      </c>
      <c r="L18" s="240">
        <v>86495</v>
      </c>
      <c r="M18" s="216" t="s">
        <v>1220</v>
      </c>
      <c r="N18" s="240">
        <v>73963.105863622623</v>
      </c>
      <c r="O18" s="216" t="s">
        <v>405</v>
      </c>
      <c r="P18" s="240">
        <v>85070.539539999838</v>
      </c>
      <c r="Q18" s="216" t="s">
        <v>1223</v>
      </c>
      <c r="R18" s="731">
        <v>68066.761850102819</v>
      </c>
      <c r="S18" s="216" t="s">
        <v>1225</v>
      </c>
      <c r="T18" s="731">
        <v>73566.157569364281</v>
      </c>
      <c r="U18" s="216" t="s">
        <v>1227</v>
      </c>
      <c r="V18" s="731">
        <v>106116.23320430638</v>
      </c>
      <c r="W18" s="216" t="s">
        <v>1244</v>
      </c>
      <c r="X18" s="731">
        <v>74162.620031057086</v>
      </c>
      <c r="Y18" s="216" t="s">
        <v>1251</v>
      </c>
      <c r="Z18" s="731">
        <v>71653.442009501159</v>
      </c>
      <c r="AA18"/>
      <c r="AB18"/>
      <c r="AC18"/>
      <c r="AD18"/>
      <c r="AE18" s="559"/>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row>
    <row r="19" spans="2:81" ht="15.5" thickTop="1" thickBot="1">
      <c r="B19" s="2550"/>
      <c r="C19" s="803"/>
      <c r="D19" s="802" t="s">
        <v>1198</v>
      </c>
      <c r="E19" s="215" t="s">
        <v>1200</v>
      </c>
      <c r="F19" s="239">
        <v>98924.038959539452</v>
      </c>
      <c r="G19" s="215" t="s">
        <v>1204</v>
      </c>
      <c r="H19" s="239">
        <v>67666.284789449332</v>
      </c>
      <c r="I19" s="215" t="s">
        <v>1211</v>
      </c>
      <c r="J19" s="239">
        <v>63539</v>
      </c>
      <c r="K19" s="216" t="s">
        <v>1217</v>
      </c>
      <c r="L19" s="240">
        <v>53215</v>
      </c>
      <c r="M19" s="216" t="s">
        <v>1221</v>
      </c>
      <c r="N19" s="240">
        <v>49692.79391267123</v>
      </c>
      <c r="O19" s="216" t="s">
        <v>405</v>
      </c>
      <c r="P19" s="240">
        <v>38932.569672999918</v>
      </c>
      <c r="Q19" s="216" t="s">
        <v>1223</v>
      </c>
      <c r="R19" s="731">
        <v>25916.7015754895</v>
      </c>
      <c r="S19" s="216" t="s">
        <v>1225</v>
      </c>
      <c r="T19" s="731">
        <v>28493.155275733567</v>
      </c>
      <c r="U19" s="216" t="s">
        <v>1227</v>
      </c>
      <c r="V19" s="731">
        <v>39109.133010469923</v>
      </c>
      <c r="W19" s="216" t="s">
        <v>1244</v>
      </c>
      <c r="X19" s="731">
        <v>29865.822820823312</v>
      </c>
      <c r="Y19" s="216" t="s">
        <v>1251</v>
      </c>
      <c r="Z19" s="731">
        <v>27896.897184360736</v>
      </c>
      <c r="AA19"/>
      <c r="AB19"/>
      <c r="AC19"/>
      <c r="AD19"/>
      <c r="AE19" s="55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row>
    <row r="20" spans="2:81" ht="15.5" thickTop="1" thickBot="1">
      <c r="B20" s="2550"/>
      <c r="C20" s="803" t="s">
        <v>1083</v>
      </c>
      <c r="D20" s="802" t="s">
        <v>1196</v>
      </c>
      <c r="E20" s="215" t="s">
        <v>1200</v>
      </c>
      <c r="F20" s="239">
        <v>333821.59988003358</v>
      </c>
      <c r="G20" s="215" t="s">
        <v>59</v>
      </c>
      <c r="H20" s="239">
        <v>311611.05692693422</v>
      </c>
      <c r="I20" s="215" t="s">
        <v>64</v>
      </c>
      <c r="J20" s="239">
        <v>376913</v>
      </c>
      <c r="K20" s="216" t="s">
        <v>70</v>
      </c>
      <c r="L20" s="240">
        <v>326517</v>
      </c>
      <c r="M20" s="216" t="s">
        <v>76</v>
      </c>
      <c r="N20" s="240">
        <v>374957.1751527536</v>
      </c>
      <c r="O20" s="216" t="s">
        <v>406</v>
      </c>
      <c r="P20" s="240">
        <v>323096.42836756073</v>
      </c>
      <c r="Q20" s="216" t="s">
        <v>1223</v>
      </c>
      <c r="R20" s="731">
        <v>253038.23182522587</v>
      </c>
      <c r="S20" s="216" t="s">
        <v>1225</v>
      </c>
      <c r="T20" s="731">
        <v>250720.66956215684</v>
      </c>
      <c r="U20" s="216" t="s">
        <v>1227</v>
      </c>
      <c r="V20" s="731">
        <v>258773.78114806127</v>
      </c>
      <c r="W20" s="216" t="s">
        <v>1244</v>
      </c>
      <c r="X20" s="731">
        <v>277351.12235932716</v>
      </c>
      <c r="Y20" s="216" t="s">
        <v>1251</v>
      </c>
      <c r="Z20" s="731">
        <v>273816.9468779515</v>
      </c>
      <c r="AA20"/>
      <c r="AB20"/>
      <c r="AC20"/>
      <c r="AD20"/>
      <c r="AE20" s="559"/>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row>
    <row r="21" spans="2:81" ht="15.5" thickTop="1" thickBot="1">
      <c r="B21" s="2550"/>
      <c r="C21" s="803"/>
      <c r="D21" s="802" t="s">
        <v>1197</v>
      </c>
      <c r="E21" s="215" t="s">
        <v>1200</v>
      </c>
      <c r="F21" s="239">
        <v>410142.68386085174</v>
      </c>
      <c r="G21" s="215" t="s">
        <v>1204</v>
      </c>
      <c r="H21" s="239">
        <v>468269.29590582388</v>
      </c>
      <c r="I21" s="215" t="s">
        <v>1212</v>
      </c>
      <c r="J21" s="239">
        <v>463086</v>
      </c>
      <c r="K21" s="216" t="s">
        <v>1216</v>
      </c>
      <c r="L21" s="240">
        <v>490669</v>
      </c>
      <c r="M21" s="216" t="s">
        <v>1220</v>
      </c>
      <c r="N21" s="240">
        <v>417290.70968483289</v>
      </c>
      <c r="O21" s="216" t="s">
        <v>406</v>
      </c>
      <c r="P21" s="240">
        <v>392883.30541600042</v>
      </c>
      <c r="Q21" s="216" t="s">
        <v>1223</v>
      </c>
      <c r="R21" s="731">
        <v>374969.32123441366</v>
      </c>
      <c r="S21" s="216" t="s">
        <v>1225</v>
      </c>
      <c r="T21" s="731">
        <v>401964.13996071398</v>
      </c>
      <c r="U21" s="216" t="s">
        <v>1227</v>
      </c>
      <c r="V21" s="731">
        <v>426123.24710104137</v>
      </c>
      <c r="W21" s="216" t="s">
        <v>1244</v>
      </c>
      <c r="X21" s="731">
        <v>382587.31080845662</v>
      </c>
      <c r="Y21" s="216" t="s">
        <v>1251</v>
      </c>
      <c r="Z21" s="731">
        <v>353200.40920927864</v>
      </c>
      <c r="AA21"/>
      <c r="AB21"/>
      <c r="AC21"/>
      <c r="AD21"/>
      <c r="AE21" s="559"/>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row>
    <row r="22" spans="2:81" ht="15.5" thickTop="1" thickBot="1">
      <c r="B22" s="2550"/>
      <c r="C22" s="803"/>
      <c r="D22" s="802" t="s">
        <v>1198</v>
      </c>
      <c r="E22" s="215" t="s">
        <v>1200</v>
      </c>
      <c r="F22" s="239">
        <v>100534.49322677215</v>
      </c>
      <c r="G22" s="215" t="s">
        <v>1205</v>
      </c>
      <c r="H22" s="239">
        <v>115162.20549138355</v>
      </c>
      <c r="I22" s="215" t="s">
        <v>1213</v>
      </c>
      <c r="J22" s="239">
        <v>113512</v>
      </c>
      <c r="K22" s="216" t="s">
        <v>1217</v>
      </c>
      <c r="L22" s="240">
        <v>120671</v>
      </c>
      <c r="M22" s="216" t="s">
        <v>1221</v>
      </c>
      <c r="N22" s="240">
        <v>150135.01869425765</v>
      </c>
      <c r="O22" s="216" t="s">
        <v>406</v>
      </c>
      <c r="P22" s="240">
        <v>70590.986151999867</v>
      </c>
      <c r="Q22" s="216" t="s">
        <v>1223</v>
      </c>
      <c r="R22" s="731">
        <v>70415.122795828822</v>
      </c>
      <c r="S22" s="216" t="s">
        <v>1225</v>
      </c>
      <c r="T22" s="731">
        <v>74474.300818076343</v>
      </c>
      <c r="U22" s="216" t="s">
        <v>1227</v>
      </c>
      <c r="V22" s="731">
        <v>94501.381234316228</v>
      </c>
      <c r="W22" s="216" t="s">
        <v>1244</v>
      </c>
      <c r="X22" s="731">
        <v>79622.39416198153</v>
      </c>
      <c r="Y22" s="216" t="s">
        <v>1251</v>
      </c>
      <c r="Z22" s="731">
        <v>74308.967771275435</v>
      </c>
      <c r="AA22"/>
      <c r="AB22"/>
      <c r="AC22"/>
      <c r="AD22"/>
      <c r="AE22" s="559"/>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row>
    <row r="23" spans="2:81" ht="15.5" thickTop="1" thickBot="1">
      <c r="B23" s="2550"/>
      <c r="C23" s="803" t="s">
        <v>886</v>
      </c>
      <c r="D23" s="802" t="s">
        <v>1196</v>
      </c>
      <c r="E23" s="215" t="s">
        <v>1200</v>
      </c>
      <c r="F23" s="239">
        <v>1177840.2251444831</v>
      </c>
      <c r="G23" s="215" t="s">
        <v>1204</v>
      </c>
      <c r="H23" s="239">
        <v>1218489.7743387897</v>
      </c>
      <c r="I23" s="215" t="s">
        <v>64</v>
      </c>
      <c r="J23" s="239">
        <v>1304372</v>
      </c>
      <c r="K23" s="216" t="s">
        <v>70</v>
      </c>
      <c r="L23" s="240">
        <v>1408615</v>
      </c>
      <c r="M23" s="216" t="s">
        <v>76</v>
      </c>
      <c r="N23" s="240">
        <v>1425251.8354370124</v>
      </c>
      <c r="O23" s="216" t="s">
        <v>405</v>
      </c>
      <c r="P23" s="240">
        <v>1212212.1212021699</v>
      </c>
      <c r="Q23" s="216" t="s">
        <v>1223</v>
      </c>
      <c r="R23" s="731">
        <v>1068890.462726614</v>
      </c>
      <c r="S23" s="216" t="s">
        <v>1225</v>
      </c>
      <c r="T23" s="731">
        <v>1036600.4716451596</v>
      </c>
      <c r="U23" s="216" t="s">
        <v>1227</v>
      </c>
      <c r="V23" s="731">
        <v>1074848.7696903634</v>
      </c>
      <c r="W23" s="216" t="s">
        <v>1244</v>
      </c>
      <c r="X23" s="731">
        <v>1110233.3601128701</v>
      </c>
      <c r="Y23" s="216" t="s">
        <v>1251</v>
      </c>
      <c r="Z23" s="731">
        <v>1068249.4965463206</v>
      </c>
      <c r="AA23"/>
      <c r="AB23"/>
      <c r="AC23"/>
      <c r="AD23"/>
      <c r="AE23" s="559"/>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row>
    <row r="24" spans="2:81" ht="15.5" thickTop="1" thickBot="1">
      <c r="B24" s="2550"/>
      <c r="C24" s="803"/>
      <c r="D24" s="802" t="s">
        <v>1197</v>
      </c>
      <c r="E24" s="215" t="s">
        <v>1200</v>
      </c>
      <c r="F24" s="239">
        <v>975655.33033611905</v>
      </c>
      <c r="G24" s="215" t="s">
        <v>1206</v>
      </c>
      <c r="H24" s="239">
        <v>957121.05129790225</v>
      </c>
      <c r="I24" s="215" t="s">
        <v>1212</v>
      </c>
      <c r="J24" s="239">
        <v>1080467</v>
      </c>
      <c r="K24" s="216" t="s">
        <v>1216</v>
      </c>
      <c r="L24" s="240">
        <v>1106464</v>
      </c>
      <c r="M24" s="216" t="s">
        <v>1220</v>
      </c>
      <c r="N24" s="240">
        <v>1129032.615257764</v>
      </c>
      <c r="O24" s="216" t="s">
        <v>405</v>
      </c>
      <c r="P24" s="240">
        <v>1019540.9318927146</v>
      </c>
      <c r="Q24" s="216" t="s">
        <v>1223</v>
      </c>
      <c r="R24" s="731">
        <v>1019540.9318927143</v>
      </c>
      <c r="S24" s="216" t="s">
        <v>1225</v>
      </c>
      <c r="T24" s="731">
        <v>984149.28078222531</v>
      </c>
      <c r="U24" s="216" t="s">
        <v>1227</v>
      </c>
      <c r="V24" s="731">
        <v>964542.03730085678</v>
      </c>
      <c r="W24" s="216" t="s">
        <v>1244</v>
      </c>
      <c r="X24" s="731">
        <v>898303.47342949826</v>
      </c>
      <c r="Y24" s="216" t="s">
        <v>1251</v>
      </c>
      <c r="Z24" s="731">
        <v>837169.03187728394</v>
      </c>
      <c r="AA24"/>
      <c r="AB24"/>
      <c r="AC24"/>
      <c r="AD24"/>
      <c r="AE24" s="559"/>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row>
    <row r="25" spans="2:81" ht="15.5" thickTop="1" thickBot="1">
      <c r="B25" s="2551"/>
      <c r="C25" s="803"/>
      <c r="D25" s="802" t="s">
        <v>1198</v>
      </c>
      <c r="E25" s="215" t="s">
        <v>1200</v>
      </c>
      <c r="F25" s="239">
        <v>320608.05654947268</v>
      </c>
      <c r="G25" s="215" t="s">
        <v>1204</v>
      </c>
      <c r="H25" s="239">
        <v>321970.77300530422</v>
      </c>
      <c r="I25" s="215" t="s">
        <v>1213</v>
      </c>
      <c r="J25" s="239">
        <v>355050</v>
      </c>
      <c r="K25" s="216" t="s">
        <v>1217</v>
      </c>
      <c r="L25" s="240">
        <v>372209</v>
      </c>
      <c r="M25" s="216" t="s">
        <v>1221</v>
      </c>
      <c r="N25" s="240">
        <v>385026.5578553286</v>
      </c>
      <c r="O25" s="216" t="s">
        <v>405</v>
      </c>
      <c r="P25" s="240">
        <v>240620.68623599954</v>
      </c>
      <c r="Q25" s="216" t="s">
        <v>1223</v>
      </c>
      <c r="R25" s="731">
        <v>200358.89056651946</v>
      </c>
      <c r="S25" s="216" t="s">
        <v>1225</v>
      </c>
      <c r="T25" s="731">
        <v>220534.27465427853</v>
      </c>
      <c r="U25" s="216" t="s">
        <v>1227</v>
      </c>
      <c r="V25" s="731">
        <v>229766.59263530676</v>
      </c>
      <c r="W25" s="216" t="s">
        <v>1244</v>
      </c>
      <c r="X25" s="731">
        <v>208865.90663192287</v>
      </c>
      <c r="Y25" s="216" t="s">
        <v>1251</v>
      </c>
      <c r="Z25" s="731">
        <v>181377.18074426986</v>
      </c>
      <c r="AA25"/>
      <c r="AB25"/>
      <c r="AC25"/>
      <c r="AD25"/>
      <c r="AE25" s="559"/>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row>
    <row r="26" spans="2:81" ht="15.5" customHeight="1" thickTop="1" thickBot="1">
      <c r="B26" s="2549" t="s">
        <v>1202</v>
      </c>
      <c r="C26" s="2552" t="s">
        <v>25</v>
      </c>
      <c r="D26" s="2553"/>
      <c r="E26" s="216" t="s">
        <v>2380</v>
      </c>
      <c r="F26" s="239">
        <v>989.43</v>
      </c>
      <c r="G26" s="216" t="s">
        <v>2380</v>
      </c>
      <c r="H26" s="239">
        <v>1406</v>
      </c>
      <c r="I26" s="216" t="s">
        <v>2380</v>
      </c>
      <c r="J26" s="239">
        <v>2051</v>
      </c>
      <c r="K26" s="216" t="s">
        <v>2380</v>
      </c>
      <c r="L26" s="240">
        <v>2606</v>
      </c>
      <c r="M26" s="216" t="s">
        <v>2380</v>
      </c>
      <c r="N26" s="240">
        <v>2891</v>
      </c>
      <c r="O26" s="216" t="s">
        <v>2380</v>
      </c>
      <c r="P26" s="240">
        <v>3049</v>
      </c>
      <c r="Q26" s="216" t="s">
        <v>1376</v>
      </c>
      <c r="R26" s="731">
        <v>3254</v>
      </c>
      <c r="S26" s="216" t="s">
        <v>1376</v>
      </c>
      <c r="T26" s="731">
        <v>3839</v>
      </c>
      <c r="U26" s="216" t="s">
        <v>1376</v>
      </c>
      <c r="V26" s="731">
        <v>4496</v>
      </c>
      <c r="W26" s="216" t="s">
        <v>1376</v>
      </c>
      <c r="X26" s="731">
        <v>5237</v>
      </c>
      <c r="Y26" s="216" t="s">
        <v>1376</v>
      </c>
      <c r="Z26" s="731">
        <v>5807</v>
      </c>
      <c r="AA26"/>
      <c r="AB26"/>
      <c r="AC26"/>
      <c r="AD26"/>
      <c r="AE26" s="559"/>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row>
    <row r="27" spans="2:81" ht="15.5" thickTop="1" thickBot="1">
      <c r="B27" s="2550"/>
      <c r="C27" s="2552" t="s">
        <v>26</v>
      </c>
      <c r="D27" s="2553"/>
      <c r="E27" s="215" t="s">
        <v>1009</v>
      </c>
      <c r="F27" s="239">
        <v>1692000</v>
      </c>
      <c r="G27" s="215" t="s">
        <v>58</v>
      </c>
      <c r="H27" s="239">
        <v>1127407</v>
      </c>
      <c r="I27" s="215" t="s">
        <v>65</v>
      </c>
      <c r="J27" s="239">
        <v>973223</v>
      </c>
      <c r="K27" s="216" t="s">
        <v>71</v>
      </c>
      <c r="L27" s="240">
        <v>792497</v>
      </c>
      <c r="M27" s="216" t="s">
        <v>77</v>
      </c>
      <c r="N27" s="240">
        <v>767729.5</v>
      </c>
      <c r="O27" s="216" t="s">
        <v>407</v>
      </c>
      <c r="P27" s="240">
        <v>696732.27708939894</v>
      </c>
      <c r="Q27" s="216" t="s">
        <v>1228</v>
      </c>
      <c r="R27" s="731">
        <v>589698.24437072664</v>
      </c>
      <c r="S27" s="216" t="s">
        <v>1229</v>
      </c>
      <c r="T27" s="731">
        <v>498952.01288858696</v>
      </c>
      <c r="U27" s="216" t="s">
        <v>1232</v>
      </c>
      <c r="V27" s="731">
        <v>496535.03513383406</v>
      </c>
      <c r="W27" s="216" t="s">
        <v>1246</v>
      </c>
      <c r="X27" s="731">
        <v>528827.55917191226</v>
      </c>
      <c r="Y27" s="216" t="s">
        <v>1252</v>
      </c>
      <c r="Z27" s="731">
        <v>551960.10961790197</v>
      </c>
      <c r="AA27"/>
      <c r="AB27"/>
      <c r="AC27"/>
      <c r="AD27"/>
      <c r="AE27" s="559"/>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row>
    <row r="28" spans="2:81" ht="15.5" thickTop="1" thickBot="1">
      <c r="B28" s="2550"/>
      <c r="C28" s="2552" t="s">
        <v>27</v>
      </c>
      <c r="D28" s="2553"/>
      <c r="E28" s="215" t="s">
        <v>1009</v>
      </c>
      <c r="F28" s="239">
        <v>317000</v>
      </c>
      <c r="G28" s="215" t="s">
        <v>58</v>
      </c>
      <c r="H28" s="768">
        <v>178105</v>
      </c>
      <c r="I28" s="215" t="s">
        <v>65</v>
      </c>
      <c r="J28" s="239">
        <v>156422</v>
      </c>
      <c r="K28" s="216" t="s">
        <v>71</v>
      </c>
      <c r="L28" s="240">
        <v>134824</v>
      </c>
      <c r="M28" s="216" t="s">
        <v>77</v>
      </c>
      <c r="N28" s="240">
        <v>108714.06445387025</v>
      </c>
      <c r="O28" s="216" t="s">
        <v>408</v>
      </c>
      <c r="P28" s="240">
        <v>20792.770689440727</v>
      </c>
      <c r="Q28" s="216" t="s">
        <v>1230</v>
      </c>
      <c r="R28" s="731">
        <v>35761.085575240097</v>
      </c>
      <c r="S28" s="216" t="s">
        <v>1231</v>
      </c>
      <c r="T28" s="731">
        <v>21745.306881266912</v>
      </c>
      <c r="U28" s="216" t="s">
        <v>1242</v>
      </c>
      <c r="V28" s="731">
        <v>14092.397180448923</v>
      </c>
      <c r="W28" s="216" t="s">
        <v>1245</v>
      </c>
      <c r="X28" s="731">
        <v>57849.051265426053</v>
      </c>
      <c r="Y28" s="216" t="s">
        <v>1253</v>
      </c>
      <c r="Z28" s="731">
        <v>23789.380027017873</v>
      </c>
      <c r="AA28"/>
      <c r="AB28"/>
      <c r="AC28"/>
      <c r="AD28"/>
      <c r="AE28" s="559"/>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row>
    <row r="29" spans="2:81" ht="15.5" thickTop="1" thickBot="1">
      <c r="B29" s="2550"/>
      <c r="C29" s="2552" t="s">
        <v>1084</v>
      </c>
      <c r="D29" s="2553"/>
      <c r="E29" s="215" t="s">
        <v>1207</v>
      </c>
      <c r="F29" s="239">
        <v>23177</v>
      </c>
      <c r="G29" s="215" t="s">
        <v>1207</v>
      </c>
      <c r="H29" s="239">
        <v>23177</v>
      </c>
      <c r="I29" s="215" t="s">
        <v>66</v>
      </c>
      <c r="J29" s="239">
        <v>20043</v>
      </c>
      <c r="K29" s="215" t="s">
        <v>72</v>
      </c>
      <c r="L29" s="240">
        <v>16851.505782184733</v>
      </c>
      <c r="M29" s="215" t="s">
        <v>72</v>
      </c>
      <c r="N29" s="240">
        <v>16851.505782184733</v>
      </c>
      <c r="O29" s="216" t="s">
        <v>409</v>
      </c>
      <c r="P29" s="240">
        <v>16851.505782184729</v>
      </c>
      <c r="Q29" s="216" t="s">
        <v>966</v>
      </c>
      <c r="R29" s="731">
        <v>17757.38335985399</v>
      </c>
      <c r="S29" s="216" t="s">
        <v>966</v>
      </c>
      <c r="T29" s="731">
        <v>20949.78325706191</v>
      </c>
      <c r="U29" s="216" t="s">
        <v>966</v>
      </c>
      <c r="V29" s="880">
        <v>20782.01741150003</v>
      </c>
      <c r="W29" s="216" t="s">
        <v>966</v>
      </c>
      <c r="X29" s="880">
        <v>20698.806223089603</v>
      </c>
      <c r="Y29" s="216" t="s">
        <v>966</v>
      </c>
      <c r="Z29" s="880">
        <v>20615.928212240313</v>
      </c>
      <c r="AA29"/>
      <c r="AB29"/>
      <c r="AC29"/>
      <c r="AD29"/>
      <c r="AE29" s="55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row>
    <row r="30" spans="2:81" ht="15.5" thickTop="1" thickBot="1">
      <c r="B30" s="2550"/>
      <c r="C30" s="2552" t="s">
        <v>28</v>
      </c>
      <c r="D30" s="2553"/>
      <c r="E30" s="215" t="s">
        <v>1009</v>
      </c>
      <c r="F30" s="239">
        <v>524000</v>
      </c>
      <c r="G30" s="215" t="s">
        <v>58</v>
      </c>
      <c r="H30" s="239">
        <v>371480</v>
      </c>
      <c r="I30" s="215" t="s">
        <v>65</v>
      </c>
      <c r="J30" s="239">
        <v>403144</v>
      </c>
      <c r="K30" s="216" t="s">
        <v>71</v>
      </c>
      <c r="L30" s="240">
        <v>367248</v>
      </c>
      <c r="M30" s="216" t="s">
        <v>77</v>
      </c>
      <c r="N30" s="240">
        <v>351931.3954575769</v>
      </c>
      <c r="O30" s="216" t="s">
        <v>408</v>
      </c>
      <c r="P30" s="240">
        <v>327645.95370391163</v>
      </c>
      <c r="Q30" s="216" t="s">
        <v>1233</v>
      </c>
      <c r="R30" s="731">
        <v>297860.71716957568</v>
      </c>
      <c r="S30" s="216" t="s">
        <v>1231</v>
      </c>
      <c r="T30" s="731">
        <v>260479.01686208553</v>
      </c>
      <c r="U30" s="216" t="s">
        <v>1242</v>
      </c>
      <c r="V30" s="731">
        <v>172574.10506577129</v>
      </c>
      <c r="W30" s="216" t="s">
        <v>1245</v>
      </c>
      <c r="X30" s="731">
        <v>192187.21017951003</v>
      </c>
      <c r="Y30" s="216" t="s">
        <v>1253</v>
      </c>
      <c r="Z30" s="731">
        <v>155407.35502171621</v>
      </c>
      <c r="AA30"/>
      <c r="AB30"/>
      <c r="AC30"/>
      <c r="AD30"/>
      <c r="AE30" s="559"/>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row>
    <row r="31" spans="2:81" ht="15.5" thickTop="1" thickBot="1">
      <c r="B31" s="2550"/>
      <c r="C31" s="2552" t="s">
        <v>29</v>
      </c>
      <c r="D31" s="2553"/>
      <c r="E31" s="215" t="s">
        <v>1009</v>
      </c>
      <c r="F31" s="239">
        <v>405000</v>
      </c>
      <c r="G31" s="215" t="s">
        <v>58</v>
      </c>
      <c r="H31" s="239">
        <v>301995</v>
      </c>
      <c r="I31" s="215" t="s">
        <v>65</v>
      </c>
      <c r="J31" s="239">
        <v>303509</v>
      </c>
      <c r="K31" s="216" t="s">
        <v>71</v>
      </c>
      <c r="L31" s="240">
        <v>264405</v>
      </c>
      <c r="M31" s="216" t="s">
        <v>77</v>
      </c>
      <c r="N31" s="240">
        <v>246857.8178519558</v>
      </c>
      <c r="O31" s="216" t="s">
        <v>408</v>
      </c>
      <c r="P31" s="240">
        <v>222684.050799939</v>
      </c>
      <c r="Q31" s="216" t="s">
        <v>1234</v>
      </c>
      <c r="R31" s="731">
        <v>175261.66423768035</v>
      </c>
      <c r="S31" s="216" t="s">
        <v>1231</v>
      </c>
      <c r="T31" s="731">
        <v>147168.66440364331</v>
      </c>
      <c r="U31" s="216" t="s">
        <v>1242</v>
      </c>
      <c r="V31" s="731">
        <v>98938.512589312711</v>
      </c>
      <c r="W31" s="216" t="s">
        <v>1245</v>
      </c>
      <c r="X31" s="731">
        <v>116082.93970809548</v>
      </c>
      <c r="Y31" s="216" t="s">
        <v>1253</v>
      </c>
      <c r="Z31" s="731">
        <v>95081.034395860188</v>
      </c>
      <c r="AA31"/>
      <c r="AB31"/>
      <c r="AC31"/>
      <c r="AD31"/>
      <c r="AE31" s="559"/>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row>
    <row r="32" spans="2:81" ht="15.5" thickTop="1" thickBot="1">
      <c r="B32" s="2550"/>
      <c r="C32" s="2552" t="s">
        <v>30</v>
      </c>
      <c r="D32" s="2553"/>
      <c r="E32" s="215" t="s">
        <v>1009</v>
      </c>
      <c r="F32" s="239">
        <v>2670000</v>
      </c>
      <c r="G32" s="215" t="s">
        <v>58</v>
      </c>
      <c r="H32" s="239">
        <v>1515276</v>
      </c>
      <c r="I32" s="215" t="s">
        <v>65</v>
      </c>
      <c r="J32" s="239">
        <v>1912048</v>
      </c>
      <c r="K32" s="216" t="s">
        <v>71</v>
      </c>
      <c r="L32" s="240">
        <v>1489761</v>
      </c>
      <c r="M32" s="216" t="s">
        <v>77</v>
      </c>
      <c r="N32" s="240">
        <v>1387203.1973794482</v>
      </c>
      <c r="O32" s="216" t="s">
        <v>410</v>
      </c>
      <c r="P32" s="240">
        <v>1672627.0894987828</v>
      </c>
      <c r="Q32" s="216" t="s">
        <v>1235</v>
      </c>
      <c r="R32" s="731">
        <v>1428161.3021242721</v>
      </c>
      <c r="S32" s="216" t="s">
        <v>1236</v>
      </c>
      <c r="T32" s="731">
        <v>1682662.0402921853</v>
      </c>
      <c r="U32" s="216" t="s">
        <v>1237</v>
      </c>
      <c r="V32" s="731">
        <v>1059841.8460104216</v>
      </c>
      <c r="W32" s="216" t="s">
        <v>1247</v>
      </c>
      <c r="X32" s="731">
        <v>1053923.1137468002</v>
      </c>
      <c r="Y32" s="216" t="s">
        <v>1254</v>
      </c>
      <c r="Z32" s="731">
        <v>943249.41672669793</v>
      </c>
      <c r="AA32"/>
      <c r="AB32"/>
      <c r="AC32"/>
      <c r="AD32"/>
      <c r="AE32" s="559"/>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row>
    <row r="33" spans="2:81" ht="15.5" thickTop="1" thickBot="1">
      <c r="B33" s="2550"/>
      <c r="C33" s="2552" t="s">
        <v>31</v>
      </c>
      <c r="D33" s="2553"/>
      <c r="E33" s="215" t="s">
        <v>1199</v>
      </c>
      <c r="F33" s="240">
        <v>17481847.658275608</v>
      </c>
      <c r="G33" s="215" t="s">
        <v>1199</v>
      </c>
      <c r="H33" s="239">
        <v>19990112.757071674</v>
      </c>
      <c r="I33" s="215" t="s">
        <v>1199</v>
      </c>
      <c r="J33" s="239">
        <v>22858259.370042831</v>
      </c>
      <c r="K33" s="215" t="s">
        <v>1199</v>
      </c>
      <c r="L33" s="240">
        <v>24944905.453615207</v>
      </c>
      <c r="M33" s="215" t="s">
        <v>1199</v>
      </c>
      <c r="N33" s="240">
        <v>26033770.374209523</v>
      </c>
      <c r="O33" s="215" t="s">
        <v>1199</v>
      </c>
      <c r="P33" s="240">
        <v>27170165.112766288</v>
      </c>
      <c r="Q33" s="216" t="s">
        <v>1241</v>
      </c>
      <c r="R33" s="731">
        <v>28356164.383561645</v>
      </c>
      <c r="S33" s="216" t="s">
        <v>1241</v>
      </c>
      <c r="T33" s="731">
        <v>30205479.452054795</v>
      </c>
      <c r="U33" s="216" t="s">
        <v>1241</v>
      </c>
      <c r="V33" s="731">
        <v>32424657.534246579</v>
      </c>
      <c r="W33" s="216" t="s">
        <v>1241</v>
      </c>
      <c r="X33" s="731">
        <v>31438356.164383564</v>
      </c>
      <c r="Y33" s="216" t="s">
        <v>1241</v>
      </c>
      <c r="Z33" s="731">
        <v>32424657.534246579</v>
      </c>
      <c r="AA33"/>
      <c r="AB33"/>
      <c r="AC33"/>
      <c r="AD33"/>
      <c r="AE33" s="559"/>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row>
    <row r="34" spans="2:81" ht="15.5" thickTop="1" thickBot="1">
      <c r="B34" s="2550"/>
      <c r="C34" s="2552" t="s">
        <v>34</v>
      </c>
      <c r="D34" s="2553"/>
      <c r="E34" s="215" t="s">
        <v>1199</v>
      </c>
      <c r="F34" s="240">
        <v>9486896.5438885596</v>
      </c>
      <c r="G34" s="215" t="s">
        <v>1199</v>
      </c>
      <c r="H34" s="239">
        <v>10284929.507879186</v>
      </c>
      <c r="I34" s="215" t="s">
        <v>1199</v>
      </c>
      <c r="J34" s="239">
        <v>11150092.603274684</v>
      </c>
      <c r="K34" s="215" t="s">
        <v>1199</v>
      </c>
      <c r="L34" s="240">
        <v>11758331.149565989</v>
      </c>
      <c r="M34" s="215" t="s">
        <v>1199</v>
      </c>
      <c r="N34" s="240">
        <v>12070525.053537095</v>
      </c>
      <c r="O34" s="215" t="s">
        <v>1199</v>
      </c>
      <c r="P34" s="240">
        <v>12391007.976794779</v>
      </c>
      <c r="Q34" s="216" t="s">
        <v>1241</v>
      </c>
      <c r="R34" s="731">
        <v>12720000</v>
      </c>
      <c r="S34" s="216" t="s">
        <v>1241</v>
      </c>
      <c r="T34" s="731">
        <v>13510000</v>
      </c>
      <c r="U34" s="216" t="s">
        <v>1241</v>
      </c>
      <c r="V34" s="731">
        <v>12690000</v>
      </c>
      <c r="W34" s="216" t="s">
        <v>1241</v>
      </c>
      <c r="X34" s="731">
        <v>12840000</v>
      </c>
      <c r="Y34" s="216" t="s">
        <v>1241</v>
      </c>
      <c r="Z34" s="731">
        <v>13790000</v>
      </c>
      <c r="AA34"/>
      <c r="AB34"/>
      <c r="AC34"/>
      <c r="AD34"/>
      <c r="AE34" s="559"/>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row>
    <row r="35" spans="2:81" ht="15.5" thickTop="1" thickBot="1">
      <c r="B35" s="2550"/>
      <c r="C35" s="2552" t="s">
        <v>32</v>
      </c>
      <c r="D35" s="2553"/>
      <c r="E35" s="215" t="s">
        <v>1009</v>
      </c>
      <c r="F35" s="240">
        <v>308162.77660780301</v>
      </c>
      <c r="G35" s="215" t="s">
        <v>61</v>
      </c>
      <c r="H35" s="239">
        <v>400030</v>
      </c>
      <c r="I35" s="215" t="s">
        <v>67</v>
      </c>
      <c r="J35" s="239">
        <v>513644</v>
      </c>
      <c r="K35" s="216" t="s">
        <v>73</v>
      </c>
      <c r="L35" s="240">
        <v>553006</v>
      </c>
      <c r="M35" s="216" t="s">
        <v>78</v>
      </c>
      <c r="N35" s="240">
        <v>576346.25906341081</v>
      </c>
      <c r="O35" s="216" t="s">
        <v>411</v>
      </c>
      <c r="P35" s="240">
        <v>105674.94629900006</v>
      </c>
      <c r="Q35" s="216" t="s">
        <v>1238</v>
      </c>
      <c r="R35" s="731">
        <v>524518.27471990092</v>
      </c>
      <c r="S35" s="216" t="s">
        <v>1239</v>
      </c>
      <c r="T35" s="731">
        <v>70291.655854557073</v>
      </c>
      <c r="U35" s="216" t="s">
        <v>1249</v>
      </c>
      <c r="V35" s="731">
        <v>458275.88577780552</v>
      </c>
      <c r="W35" s="216" t="s">
        <v>1248</v>
      </c>
      <c r="X35" s="731">
        <v>554094.02431405743</v>
      </c>
      <c r="Y35" s="216" t="s">
        <v>1255</v>
      </c>
      <c r="Z35" s="731">
        <v>376745.77189608058</v>
      </c>
      <c r="AA35"/>
      <c r="AB35"/>
      <c r="AC35"/>
      <c r="AD35"/>
      <c r="AE35" s="559"/>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row>
    <row r="36" spans="2:81" ht="15.5" thickTop="1" thickBot="1">
      <c r="B36" s="2550"/>
      <c r="C36" s="2552" t="s">
        <v>33</v>
      </c>
      <c r="D36" s="2553"/>
      <c r="E36" s="215" t="s">
        <v>1009</v>
      </c>
      <c r="F36" s="240">
        <v>266839.26029143028</v>
      </c>
      <c r="G36" s="215" t="s">
        <v>61</v>
      </c>
      <c r="H36" s="239">
        <v>117040</v>
      </c>
      <c r="I36" s="215" t="s">
        <v>68</v>
      </c>
      <c r="J36" s="239">
        <v>196165</v>
      </c>
      <c r="K36" s="216" t="s">
        <v>74</v>
      </c>
      <c r="L36" s="240">
        <v>287080</v>
      </c>
      <c r="M36" s="216" t="s">
        <v>79</v>
      </c>
      <c r="N36" s="240">
        <v>78857.794848456659</v>
      </c>
      <c r="O36" s="216" t="s">
        <v>411</v>
      </c>
      <c r="P36" s="240">
        <v>446358.93667199998</v>
      </c>
      <c r="Q36" s="216" t="s">
        <v>1240</v>
      </c>
      <c r="R36" s="731">
        <v>280845.58279883425</v>
      </c>
      <c r="S36" s="216" t="s">
        <v>1239</v>
      </c>
      <c r="T36" s="731">
        <v>198716.80964562827</v>
      </c>
      <c r="U36" s="216" t="s">
        <v>1249</v>
      </c>
      <c r="V36" s="731">
        <v>179336.35521878776</v>
      </c>
      <c r="W36" s="216" t="s">
        <v>1248</v>
      </c>
      <c r="X36" s="731">
        <v>311843.70214887831</v>
      </c>
      <c r="Y36" s="216" t="s">
        <v>1255</v>
      </c>
      <c r="Z36" s="731">
        <v>455071.31759035861</v>
      </c>
      <c r="AA36"/>
      <c r="AB36"/>
      <c r="AC36"/>
      <c r="AD36"/>
      <c r="AE36" s="559"/>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row>
    <row r="37" spans="2:81" ht="15.5" hidden="1" customHeight="1" thickTop="1" thickBot="1">
      <c r="B37" s="2550"/>
      <c r="C37" s="803" t="s">
        <v>35</v>
      </c>
      <c r="D37" s="237"/>
      <c r="E37" s="215"/>
      <c r="F37" s="241"/>
      <c r="G37" s="217"/>
      <c r="H37" s="239"/>
      <c r="I37" s="217"/>
      <c r="J37" s="239"/>
      <c r="K37" s="217"/>
      <c r="L37" s="242"/>
      <c r="M37" s="217"/>
      <c r="N37" s="242"/>
      <c r="O37" s="217"/>
      <c r="P37" s="731"/>
      <c r="Q37" s="217"/>
      <c r="R37" s="243"/>
      <c r="S37" s="217"/>
      <c r="T37" s="243"/>
      <c r="U37" s="217"/>
      <c r="V37" s="243"/>
      <c r="W37" s="217"/>
      <c r="X37" s="243"/>
      <c r="Y37" s="217"/>
      <c r="Z37" s="243"/>
      <c r="AA37"/>
      <c r="AB37"/>
      <c r="AC37"/>
      <c r="AD37"/>
      <c r="AE37" s="559"/>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row>
    <row r="38" spans="2:81" ht="15.5" thickTop="1" thickBot="1">
      <c r="B38" s="2551"/>
      <c r="C38" s="2547" t="s">
        <v>15</v>
      </c>
      <c r="D38" s="2548"/>
      <c r="E38" s="238"/>
      <c r="F38" s="238">
        <f>SUM(F14:F37)</f>
        <v>37997290.773705795</v>
      </c>
      <c r="G38" s="238"/>
      <c r="H38" s="238">
        <f>SUM(H14:H37)</f>
        <v>39106351.082236722</v>
      </c>
      <c r="I38" s="238"/>
      <c r="J38" s="238">
        <f>SUM(J14:J37)</f>
        <v>43523252.973317519</v>
      </c>
      <c r="K38" s="238"/>
      <c r="L38" s="238">
        <f>SUM(L14:L37)</f>
        <v>45865051.108963378</v>
      </c>
      <c r="M38" s="238"/>
      <c r="N38" s="238">
        <f>SUM(N14:N37)</f>
        <v>46877227.756783411</v>
      </c>
      <c r="O38" s="238"/>
      <c r="P38" s="238">
        <f>SUM(P14:P37)</f>
        <v>47616002.044320405</v>
      </c>
      <c r="Q38" s="238"/>
      <c r="R38" s="238">
        <f>SUM(R14:R37)</f>
        <v>48556593.950505912</v>
      </c>
      <c r="S38" s="238"/>
      <c r="T38" s="238">
        <f>SUM(T14:T37)</f>
        <v>50677079.435412392</v>
      </c>
      <c r="U38" s="238"/>
      <c r="V38" s="238">
        <f>SUM(V14:V37)</f>
        <v>51955453.465212643</v>
      </c>
      <c r="W38" s="238"/>
      <c r="X38" s="238">
        <f>SUM(X14:X37)</f>
        <v>51186029.320599481</v>
      </c>
      <c r="Y38" s="238"/>
      <c r="Z38" s="238">
        <f>SUM(Z14:Z37)</f>
        <v>52702878.286888376</v>
      </c>
      <c r="AA38"/>
      <c r="AB38"/>
      <c r="AC38"/>
      <c r="AD38"/>
      <c r="AE38" s="559"/>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row>
    <row r="39" spans="2:81">
      <c r="B39"/>
      <c r="C39"/>
      <c r="D39"/>
      <c r="E39" s="218"/>
      <c r="F39"/>
      <c r="G39"/>
      <c r="H39"/>
      <c r="I39"/>
      <c r="J39"/>
      <c r="K39"/>
      <c r="L39"/>
      <c r="M39"/>
      <c r="N39"/>
      <c r="O39" s="304"/>
      <c r="P39"/>
      <c r="Q39"/>
      <c r="R39"/>
      <c r="S39"/>
      <c r="T39"/>
      <c r="U39"/>
      <c r="V39"/>
      <c r="W39"/>
      <c r="X39"/>
      <c r="Y39"/>
      <c r="Z39"/>
      <c r="AA39"/>
      <c r="AB39"/>
      <c r="AC39"/>
      <c r="AD39"/>
      <c r="AE39" s="55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row>
    <row r="40" spans="2:81" ht="18.5">
      <c r="B40" s="2570" t="s">
        <v>328</v>
      </c>
      <c r="C40" s="2570"/>
      <c r="D40" s="2570"/>
      <c r="E40" s="2570"/>
      <c r="F40" s="2570"/>
      <c r="G40" s="2570" t="s">
        <v>328</v>
      </c>
      <c r="H40" s="2570"/>
      <c r="I40" s="2570"/>
      <c r="J40" s="2570"/>
      <c r="K40" s="2570"/>
      <c r="L40" s="2570" t="s">
        <v>328</v>
      </c>
      <c r="M40" s="2570"/>
      <c r="N40" s="2570"/>
      <c r="O40" s="2570"/>
      <c r="P40" s="2570"/>
      <c r="Q40" s="2570" t="s">
        <v>328</v>
      </c>
      <c r="R40" s="2570"/>
      <c r="S40" s="2570"/>
      <c r="T40" s="2570"/>
      <c r="U40" s="2570"/>
      <c r="V40" s="2560" t="s">
        <v>328</v>
      </c>
      <c r="W40" s="2560"/>
      <c r="X40" s="2560"/>
      <c r="Y40" s="2560"/>
      <c r="Z40" s="2560"/>
      <c r="AA40" s="2560" t="s">
        <v>328</v>
      </c>
      <c r="AB40" s="2560"/>
      <c r="AC40" s="2560"/>
      <c r="AD40" s="2560"/>
      <c r="AE40" s="2560"/>
      <c r="AF40" s="2560" t="s">
        <v>328</v>
      </c>
      <c r="AG40" s="2560"/>
      <c r="AH40" s="2560"/>
      <c r="AI40" s="2560"/>
      <c r="AJ40" s="2560"/>
      <c r="AK40" s="2560" t="s">
        <v>328</v>
      </c>
      <c r="AL40" s="2560"/>
      <c r="AM40" s="2560"/>
      <c r="AN40" s="2560"/>
      <c r="AO40" s="2560"/>
      <c r="AP40" s="2560" t="s">
        <v>328</v>
      </c>
      <c r="AQ40" s="2560"/>
      <c r="AR40" s="2560"/>
      <c r="AS40" s="2560"/>
      <c r="AT40" s="2560"/>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14"/>
      <c r="BU40" s="214"/>
      <c r="BV40" s="214"/>
      <c r="BW40" s="214"/>
      <c r="BX40" s="214"/>
      <c r="BY40" s="214"/>
      <c r="BZ40" s="214"/>
      <c r="CA40" s="214"/>
      <c r="CB40" s="214"/>
      <c r="CC40" s="214"/>
    </row>
    <row r="41" spans="2:81" ht="18.5">
      <c r="B41" s="2570"/>
      <c r="C41" s="2570"/>
      <c r="D41" s="2570"/>
      <c r="E41" s="2570"/>
      <c r="F41" s="2570"/>
      <c r="G41" s="2570"/>
      <c r="H41" s="2570"/>
      <c r="I41" s="2570"/>
      <c r="J41" s="2570"/>
      <c r="K41" s="2570"/>
      <c r="L41" s="2570"/>
      <c r="M41" s="2570"/>
      <c r="N41" s="2570"/>
      <c r="O41" s="2570"/>
      <c r="P41" s="2570"/>
      <c r="Q41" s="2570"/>
      <c r="R41" s="2570"/>
      <c r="S41" s="2570"/>
      <c r="T41" s="2570"/>
      <c r="U41" s="2570"/>
      <c r="V41" s="2560"/>
      <c r="W41" s="2560"/>
      <c r="X41" s="2560"/>
      <c r="Y41" s="2560"/>
      <c r="Z41" s="2560"/>
      <c r="AA41" s="2560"/>
      <c r="AB41" s="2560"/>
      <c r="AC41" s="2560"/>
      <c r="AD41" s="2560"/>
      <c r="AE41" s="2560"/>
      <c r="AF41" s="2560"/>
      <c r="AG41" s="2560"/>
      <c r="AH41" s="2560"/>
      <c r="AI41" s="2560"/>
      <c r="AJ41" s="2560"/>
      <c r="AK41" s="2560"/>
      <c r="AL41" s="2560"/>
      <c r="AM41" s="2560"/>
      <c r="AN41" s="2560"/>
      <c r="AO41" s="2560"/>
      <c r="AP41" s="2560"/>
      <c r="AQ41" s="2560"/>
      <c r="AR41" s="2560"/>
      <c r="AS41" s="2560"/>
      <c r="AT41" s="2560"/>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14"/>
      <c r="BU41" s="214"/>
      <c r="BV41" s="214"/>
      <c r="BW41" s="214"/>
      <c r="BX41" s="214"/>
      <c r="BY41" s="214"/>
      <c r="BZ41" s="214"/>
      <c r="CA41" s="214"/>
      <c r="CB41" s="214"/>
      <c r="CC41" s="214"/>
    </row>
    <row r="42" spans="2:81">
      <c r="B42"/>
      <c r="C42"/>
      <c r="D42"/>
      <c r="E42"/>
      <c r="F42"/>
      <c r="G42"/>
      <c r="H42"/>
      <c r="I42"/>
      <c r="J42"/>
      <c r="K42"/>
      <c r="L42"/>
      <c r="M42"/>
      <c r="N42"/>
      <c r="O42"/>
      <c r="P42"/>
      <c r="Q42"/>
      <c r="R42"/>
      <c r="S42"/>
      <c r="T42"/>
      <c r="U42"/>
      <c r="V42"/>
      <c r="W42"/>
      <c r="X42"/>
      <c r="Y42"/>
      <c r="Z42"/>
      <c r="AA42"/>
      <c r="AB42"/>
      <c r="AC42"/>
      <c r="AD42"/>
      <c r="AE42" s="559"/>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row>
    <row r="43" spans="2:81" ht="19" thickBot="1">
      <c r="B43"/>
      <c r="C43" s="289" t="s">
        <v>0</v>
      </c>
      <c r="D43" s="289"/>
      <c r="E43" s="2571" t="s">
        <v>47</v>
      </c>
      <c r="F43" s="2572"/>
      <c r="G43" s="2572"/>
      <c r="H43" s="2572"/>
      <c r="I43" s="2572"/>
      <c r="J43" s="2572"/>
      <c r="K43" s="2572"/>
      <c r="L43" s="2572"/>
      <c r="M43" s="2572"/>
      <c r="N43" s="2572"/>
      <c r="O43" s="2572"/>
      <c r="P43" s="2572"/>
      <c r="Q43" s="2572"/>
      <c r="R43" s="2572"/>
      <c r="S43" s="2572"/>
      <c r="T43" s="2572"/>
      <c r="U43" s="2572"/>
      <c r="V43" s="2572"/>
      <c r="W43" s="2572"/>
      <c r="X43" s="2572"/>
      <c r="Y43" s="2572"/>
      <c r="Z43"/>
      <c r="AA43"/>
      <c r="AB43"/>
      <c r="AC43"/>
      <c r="AD43"/>
      <c r="AE43"/>
      <c r="AF43" s="559"/>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row>
    <row r="44" spans="2:81" ht="14.5">
      <c r="B44"/>
      <c r="C44" s="2576" t="s">
        <v>697</v>
      </c>
      <c r="D44" s="2576"/>
      <c r="E44" s="2573">
        <v>1994</v>
      </c>
      <c r="F44" s="2574"/>
      <c r="G44" s="2575"/>
      <c r="H44" s="2573">
        <v>2000</v>
      </c>
      <c r="I44" s="2574"/>
      <c r="J44" s="2575"/>
      <c r="K44" s="2573">
        <v>2006</v>
      </c>
      <c r="L44" s="2574"/>
      <c r="M44" s="2575"/>
      <c r="N44" s="2573">
        <v>2010</v>
      </c>
      <c r="O44" s="2574"/>
      <c r="P44" s="2575"/>
      <c r="Q44" s="2573">
        <v>2012</v>
      </c>
      <c r="R44" s="2574"/>
      <c r="S44" s="2575"/>
      <c r="T44" s="2573">
        <v>2014</v>
      </c>
      <c r="U44" s="2574"/>
      <c r="V44" s="2575"/>
      <c r="W44" s="2573">
        <v>2016</v>
      </c>
      <c r="X44" s="2574"/>
      <c r="Y44" s="2575"/>
      <c r="Z44" s="2573">
        <v>2018</v>
      </c>
      <c r="AA44" s="2574"/>
      <c r="AB44" s="2575"/>
      <c r="AC44" s="2573">
        <v>2020</v>
      </c>
      <c r="AD44" s="2574"/>
      <c r="AE44" s="2575"/>
      <c r="AF44" s="2573">
        <v>2021</v>
      </c>
      <c r="AG44" s="2574"/>
      <c r="AH44" s="2575"/>
      <c r="AI44" s="2573">
        <v>2022</v>
      </c>
      <c r="AJ44" s="2574"/>
      <c r="AK44" s="2575"/>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row>
    <row r="45" spans="2:81" ht="14.5">
      <c r="B45"/>
      <c r="C45" s="2576"/>
      <c r="D45" s="2576"/>
      <c r="E45" s="234" t="s">
        <v>3</v>
      </c>
      <c r="F45" s="234" t="s">
        <v>48</v>
      </c>
      <c r="G45" s="234" t="s">
        <v>512</v>
      </c>
      <c r="H45" s="234" t="s">
        <v>3</v>
      </c>
      <c r="I45" s="234" t="s">
        <v>48</v>
      </c>
      <c r="J45" s="234" t="s">
        <v>49</v>
      </c>
      <c r="K45" s="234" t="s">
        <v>3</v>
      </c>
      <c r="L45" s="234" t="s">
        <v>48</v>
      </c>
      <c r="M45" s="234" t="s">
        <v>49</v>
      </c>
      <c r="N45" s="234" t="s">
        <v>3</v>
      </c>
      <c r="O45" s="234" t="s">
        <v>48</v>
      </c>
      <c r="P45" s="234" t="s">
        <v>49</v>
      </c>
      <c r="Q45" s="234" t="s">
        <v>3</v>
      </c>
      <c r="R45" s="234" t="s">
        <v>48</v>
      </c>
      <c r="S45" s="234" t="s">
        <v>49</v>
      </c>
      <c r="T45" s="234" t="s">
        <v>3</v>
      </c>
      <c r="U45" s="234" t="s">
        <v>48</v>
      </c>
      <c r="V45" s="234" t="s">
        <v>512</v>
      </c>
      <c r="W45" s="234" t="s">
        <v>3</v>
      </c>
      <c r="X45" s="234" t="s">
        <v>48</v>
      </c>
      <c r="Y45" s="234" t="s">
        <v>512</v>
      </c>
      <c r="Z45" s="234" t="s">
        <v>3</v>
      </c>
      <c r="AA45" s="234" t="s">
        <v>48</v>
      </c>
      <c r="AB45" s="234" t="s">
        <v>512</v>
      </c>
      <c r="AC45" s="234" t="s">
        <v>3</v>
      </c>
      <c r="AD45" s="234" t="s">
        <v>48</v>
      </c>
      <c r="AE45" s="234" t="s">
        <v>512</v>
      </c>
      <c r="AF45" s="234" t="s">
        <v>3</v>
      </c>
      <c r="AG45" s="234" t="s">
        <v>48</v>
      </c>
      <c r="AH45" s="234" t="s">
        <v>512</v>
      </c>
      <c r="AI45" s="234" t="s">
        <v>3</v>
      </c>
      <c r="AJ45" s="234" t="s">
        <v>48</v>
      </c>
      <c r="AK45" s="234" t="s">
        <v>512</v>
      </c>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row>
    <row r="46" spans="2:81" ht="14.5">
      <c r="B46"/>
      <c r="C46" s="244" t="s">
        <v>50</v>
      </c>
      <c r="D46" s="244"/>
      <c r="E46" s="219" t="s">
        <v>1009</v>
      </c>
      <c r="F46" s="281">
        <v>400350</v>
      </c>
      <c r="G46" s="282"/>
      <c r="H46" s="219" t="s">
        <v>17</v>
      </c>
      <c r="I46" s="281">
        <v>349726</v>
      </c>
      <c r="J46" s="283"/>
      <c r="K46" s="6" t="s">
        <v>18</v>
      </c>
      <c r="L46" s="284">
        <v>357558</v>
      </c>
      <c r="M46" s="283"/>
      <c r="N46" s="5" t="s">
        <v>19</v>
      </c>
      <c r="O46" s="285">
        <v>393137</v>
      </c>
      <c r="P46" s="283"/>
      <c r="Q46" s="5" t="s">
        <v>20</v>
      </c>
      <c r="R46" s="286">
        <v>371169.99783437001</v>
      </c>
      <c r="S46" s="283"/>
      <c r="T46" s="5" t="s">
        <v>413</v>
      </c>
      <c r="U46" s="292">
        <v>354136</v>
      </c>
      <c r="V46" s="287"/>
      <c r="W46" s="5" t="s">
        <v>965</v>
      </c>
      <c r="X46" s="292">
        <v>385039.49453025428</v>
      </c>
      <c r="Y46" s="287"/>
      <c r="Z46" s="5" t="s">
        <v>984</v>
      </c>
      <c r="AA46" s="292">
        <v>301852.99847142101</v>
      </c>
      <c r="AB46" s="287"/>
      <c r="AC46" s="5" t="s">
        <v>1259</v>
      </c>
      <c r="AD46" s="292">
        <v>315023.03738631884</v>
      </c>
      <c r="AE46" s="287"/>
      <c r="AF46" s="5" t="s">
        <v>1262</v>
      </c>
      <c r="AG46" s="292">
        <v>342967.0842437534</v>
      </c>
      <c r="AH46" s="287"/>
      <c r="AI46" s="5" t="s">
        <v>1261</v>
      </c>
      <c r="AJ46" s="292">
        <v>343061.40916261711</v>
      </c>
      <c r="AK46" s="287"/>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row>
    <row r="47" spans="2:81" ht="14.5" hidden="1">
      <c r="B47" t="s">
        <v>1369</v>
      </c>
      <c r="C47" s="872" t="s">
        <v>1375</v>
      </c>
      <c r="D47" s="244"/>
      <c r="E47" s="219"/>
      <c r="F47" s="877">
        <f>F$46*G47</f>
        <v>0</v>
      </c>
      <c r="G47" s="876">
        <v>0</v>
      </c>
      <c r="H47" s="219"/>
      <c r="I47" s="877">
        <f>I$46*J47</f>
        <v>0</v>
      </c>
      <c r="J47" s="876">
        <v>0</v>
      </c>
      <c r="K47" s="232"/>
      <c r="L47" s="877">
        <f>L$46*M47</f>
        <v>0</v>
      </c>
      <c r="M47" s="876">
        <v>0</v>
      </c>
      <c r="N47" s="219"/>
      <c r="O47" s="877">
        <f>O$46*P47</f>
        <v>0</v>
      </c>
      <c r="P47" s="876">
        <v>0</v>
      </c>
      <c r="Q47" s="219"/>
      <c r="R47" s="877">
        <f>R$46*S47</f>
        <v>0</v>
      </c>
      <c r="S47" s="876">
        <v>0</v>
      </c>
      <c r="T47" s="219"/>
      <c r="U47" s="877">
        <f>U$46*V47</f>
        <v>0</v>
      </c>
      <c r="V47" s="876">
        <v>0</v>
      </c>
      <c r="W47" s="219"/>
      <c r="X47" s="877">
        <f>X$46*Y47</f>
        <v>0</v>
      </c>
      <c r="Y47" s="876">
        <v>0</v>
      </c>
      <c r="Z47" s="219"/>
      <c r="AA47" s="877">
        <f>AA$46*AB47</f>
        <v>0</v>
      </c>
      <c r="AB47" s="876">
        <v>0</v>
      </c>
      <c r="AC47" s="219"/>
      <c r="AD47" s="877">
        <f>AD$46*AE47</f>
        <v>0</v>
      </c>
      <c r="AE47" s="876">
        <v>0</v>
      </c>
      <c r="AF47" s="219"/>
      <c r="AG47" s="877">
        <f>AG$46*AH47</f>
        <v>0</v>
      </c>
      <c r="AH47" s="876">
        <v>0</v>
      </c>
      <c r="AI47" s="875"/>
      <c r="AJ47" s="877">
        <f>AJ$46*AK47</f>
        <v>0</v>
      </c>
      <c r="AK47" s="876">
        <v>0</v>
      </c>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row>
    <row r="48" spans="2:81" ht="14.5" hidden="1">
      <c r="B48" t="s">
        <v>1370</v>
      </c>
      <c r="C48" s="2590" t="s">
        <v>1361</v>
      </c>
      <c r="D48" s="874" t="s">
        <v>1362</v>
      </c>
      <c r="E48" s="875"/>
      <c r="F48" s="877">
        <f t="shared" ref="F48:F53" si="0">F$46*G48</f>
        <v>0</v>
      </c>
      <c r="G48" s="876">
        <v>0</v>
      </c>
      <c r="H48" s="219"/>
      <c r="I48" s="877">
        <f t="shared" ref="I48:I53" si="1">I$46*J48</f>
        <v>0</v>
      </c>
      <c r="J48" s="876">
        <v>0</v>
      </c>
      <c r="K48" s="219"/>
      <c r="L48" s="877">
        <f t="shared" ref="L48:L53" si="2">L$46*M48</f>
        <v>0</v>
      </c>
      <c r="M48" s="876">
        <v>0</v>
      </c>
      <c r="N48" s="219"/>
      <c r="O48" s="877">
        <f t="shared" ref="O48:O53" si="3">O$46*P48</f>
        <v>0</v>
      </c>
      <c r="P48" s="876">
        <v>0</v>
      </c>
      <c r="Q48" s="219"/>
      <c r="R48" s="877">
        <f t="shared" ref="R48:R53" si="4">R$46*S48</f>
        <v>0</v>
      </c>
      <c r="S48" s="876">
        <v>0</v>
      </c>
      <c r="T48" s="219"/>
      <c r="U48" s="877">
        <f t="shared" ref="U48:U53" si="5">U$46*V48</f>
        <v>0</v>
      </c>
      <c r="V48" s="876">
        <v>0</v>
      </c>
      <c r="W48" s="219"/>
      <c r="X48" s="877">
        <f t="shared" ref="X48:X53" si="6">X$46*Y48</f>
        <v>0</v>
      </c>
      <c r="Y48" s="876">
        <v>0</v>
      </c>
      <c r="Z48" s="219"/>
      <c r="AA48" s="877">
        <f t="shared" ref="AA48:AA53" si="7">AA$46*AB48</f>
        <v>0</v>
      </c>
      <c r="AB48" s="876">
        <v>0</v>
      </c>
      <c r="AC48" s="219"/>
      <c r="AD48" s="877">
        <f t="shared" ref="AD48:AD53" si="8">AD$46*AE48</f>
        <v>0</v>
      </c>
      <c r="AE48" s="876">
        <v>0</v>
      </c>
      <c r="AF48" s="219"/>
      <c r="AG48" s="877">
        <f t="shared" ref="AG48:AG53" si="9">AG$46*AH48</f>
        <v>0</v>
      </c>
      <c r="AH48" s="876">
        <v>0</v>
      </c>
      <c r="AI48" s="875"/>
      <c r="AJ48" s="877">
        <f t="shared" ref="AJ48:AJ53" si="10">AJ$46*AK48</f>
        <v>0</v>
      </c>
      <c r="AK48" s="876">
        <v>0</v>
      </c>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row>
    <row r="49" spans="2:82" ht="14.5" hidden="1">
      <c r="B49" t="s">
        <v>1371</v>
      </c>
      <c r="C49" s="2591"/>
      <c r="D49" s="874" t="s">
        <v>1363</v>
      </c>
      <c r="E49" s="875"/>
      <c r="F49" s="877">
        <f t="shared" si="0"/>
        <v>0</v>
      </c>
      <c r="G49" s="876">
        <v>0</v>
      </c>
      <c r="H49" s="219"/>
      <c r="I49" s="877">
        <f t="shared" si="1"/>
        <v>0</v>
      </c>
      <c r="J49" s="876">
        <v>0</v>
      </c>
      <c r="K49" s="219"/>
      <c r="L49" s="877">
        <f t="shared" si="2"/>
        <v>0</v>
      </c>
      <c r="M49" s="876">
        <v>0</v>
      </c>
      <c r="N49" s="219"/>
      <c r="O49" s="877">
        <f t="shared" si="3"/>
        <v>0</v>
      </c>
      <c r="P49" s="876">
        <v>0</v>
      </c>
      <c r="Q49" s="219"/>
      <c r="R49" s="877">
        <f t="shared" si="4"/>
        <v>0</v>
      </c>
      <c r="S49" s="876">
        <v>0</v>
      </c>
      <c r="T49" s="219"/>
      <c r="U49" s="877">
        <f t="shared" si="5"/>
        <v>0</v>
      </c>
      <c r="V49" s="876">
        <v>0</v>
      </c>
      <c r="W49" s="219"/>
      <c r="X49" s="877">
        <f t="shared" si="6"/>
        <v>0</v>
      </c>
      <c r="Y49" s="876">
        <v>0</v>
      </c>
      <c r="Z49" s="219"/>
      <c r="AA49" s="877">
        <f t="shared" si="7"/>
        <v>0</v>
      </c>
      <c r="AB49" s="876">
        <v>0</v>
      </c>
      <c r="AC49" s="219"/>
      <c r="AD49" s="877">
        <f t="shared" si="8"/>
        <v>0</v>
      </c>
      <c r="AE49" s="876">
        <v>0</v>
      </c>
      <c r="AF49" s="219"/>
      <c r="AG49" s="877">
        <f t="shared" si="9"/>
        <v>0</v>
      </c>
      <c r="AH49" s="876">
        <v>0</v>
      </c>
      <c r="AI49" s="875"/>
      <c r="AJ49" s="877">
        <f t="shared" si="10"/>
        <v>0</v>
      </c>
      <c r="AK49" s="876">
        <v>0</v>
      </c>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row>
    <row r="50" spans="2:82" ht="14.5">
      <c r="B50" t="s">
        <v>1372</v>
      </c>
      <c r="C50" s="2592"/>
      <c r="D50" s="874" t="s">
        <v>1364</v>
      </c>
      <c r="E50" s="875"/>
      <c r="F50" s="877">
        <f t="shared" si="0"/>
        <v>88077</v>
      </c>
      <c r="G50" s="876">
        <v>0.22</v>
      </c>
      <c r="H50" s="219"/>
      <c r="I50" s="877">
        <f t="shared" si="1"/>
        <v>76939.72</v>
      </c>
      <c r="J50" s="876">
        <v>0.22</v>
      </c>
      <c r="K50" s="219"/>
      <c r="L50" s="877">
        <f t="shared" si="2"/>
        <v>78662.759999999995</v>
      </c>
      <c r="M50" s="876">
        <v>0.22</v>
      </c>
      <c r="N50" s="219"/>
      <c r="O50" s="877">
        <f t="shared" si="3"/>
        <v>86490.14</v>
      </c>
      <c r="P50" s="876">
        <v>0.22</v>
      </c>
      <c r="Q50" s="219"/>
      <c r="R50" s="877">
        <f t="shared" si="4"/>
        <v>81657.399523561398</v>
      </c>
      <c r="S50" s="876">
        <v>0.22</v>
      </c>
      <c r="T50" s="219"/>
      <c r="U50" s="877">
        <f t="shared" si="5"/>
        <v>77909.919999999998</v>
      </c>
      <c r="V50" s="876">
        <v>0.22</v>
      </c>
      <c r="W50" s="219"/>
      <c r="X50" s="877">
        <f t="shared" si="6"/>
        <v>77007.898906050861</v>
      </c>
      <c r="Y50" s="876">
        <v>0.2</v>
      </c>
      <c r="Z50" s="219"/>
      <c r="AA50" s="877">
        <f t="shared" si="7"/>
        <v>84518.839571997887</v>
      </c>
      <c r="AB50" s="876">
        <v>0.28000000000000003</v>
      </c>
      <c r="AC50" s="219"/>
      <c r="AD50" s="877">
        <f t="shared" si="8"/>
        <v>69305.068224990144</v>
      </c>
      <c r="AE50" s="876">
        <v>0.22</v>
      </c>
      <c r="AF50" s="219"/>
      <c r="AG50" s="877">
        <f t="shared" si="9"/>
        <v>65163.746006313144</v>
      </c>
      <c r="AH50" s="876">
        <v>0.19</v>
      </c>
      <c r="AI50" s="875"/>
      <c r="AJ50" s="877">
        <f t="shared" si="10"/>
        <v>68612.281832523426</v>
      </c>
      <c r="AK50" s="876">
        <v>0.2</v>
      </c>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row>
    <row r="51" spans="2:82" ht="14.5">
      <c r="B51" t="s">
        <v>1373</v>
      </c>
      <c r="C51" s="881" t="s">
        <v>1365</v>
      </c>
      <c r="D51" s="873" t="s">
        <v>1366</v>
      </c>
      <c r="E51" s="875"/>
      <c r="F51" s="877">
        <f t="shared" si="0"/>
        <v>192168</v>
      </c>
      <c r="G51" s="876">
        <v>0.48</v>
      </c>
      <c r="H51" s="219"/>
      <c r="I51" s="877">
        <f t="shared" si="1"/>
        <v>167868.47999999998</v>
      </c>
      <c r="J51" s="876">
        <v>0.48</v>
      </c>
      <c r="K51" s="219"/>
      <c r="L51" s="877">
        <f t="shared" si="2"/>
        <v>171627.84</v>
      </c>
      <c r="M51" s="876">
        <v>0.48</v>
      </c>
      <c r="N51" s="219"/>
      <c r="O51" s="877">
        <f t="shared" si="3"/>
        <v>188705.75999999998</v>
      </c>
      <c r="P51" s="876">
        <v>0.48</v>
      </c>
      <c r="Q51" s="219"/>
      <c r="R51" s="877">
        <f t="shared" si="4"/>
        <v>178161.59896049759</v>
      </c>
      <c r="S51" s="876">
        <v>0.48</v>
      </c>
      <c r="T51" s="219"/>
      <c r="U51" s="877">
        <f t="shared" si="5"/>
        <v>169985.28</v>
      </c>
      <c r="V51" s="876">
        <v>0.48</v>
      </c>
      <c r="W51" s="219"/>
      <c r="X51" s="877">
        <f t="shared" si="6"/>
        <v>157866.19275740423</v>
      </c>
      <c r="Y51" s="876">
        <v>0.41</v>
      </c>
      <c r="Z51" s="219"/>
      <c r="AA51" s="877">
        <f t="shared" si="7"/>
        <v>135833.84931213947</v>
      </c>
      <c r="AB51" s="876">
        <v>0.45</v>
      </c>
      <c r="AC51" s="219"/>
      <c r="AD51" s="877">
        <f t="shared" si="8"/>
        <v>160661.74906702261</v>
      </c>
      <c r="AE51" s="876">
        <v>0.51</v>
      </c>
      <c r="AF51" s="219"/>
      <c r="AG51" s="877">
        <f t="shared" si="9"/>
        <v>185202.22549162686</v>
      </c>
      <c r="AH51" s="876">
        <v>0.54</v>
      </c>
      <c r="AI51" s="875"/>
      <c r="AJ51" s="877">
        <f t="shared" si="10"/>
        <v>174961.31867293472</v>
      </c>
      <c r="AK51" s="876">
        <v>0.51</v>
      </c>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row>
    <row r="52" spans="2:82" ht="14.5" hidden="1" customHeight="1">
      <c r="B52" s="7" t="s">
        <v>1260</v>
      </c>
      <c r="C52" s="321"/>
      <c r="D52" s="874" t="s">
        <v>1367</v>
      </c>
      <c r="E52" s="875"/>
      <c r="F52" s="877">
        <f t="shared" si="0"/>
        <v>0</v>
      </c>
      <c r="G52" s="713">
        <v>0</v>
      </c>
      <c r="H52" s="875"/>
      <c r="I52" s="877">
        <f t="shared" si="1"/>
        <v>0</v>
      </c>
      <c r="J52" s="713">
        <v>0</v>
      </c>
      <c r="K52" s="875"/>
      <c r="L52" s="877">
        <f t="shared" si="2"/>
        <v>0</v>
      </c>
      <c r="M52" s="713">
        <v>0</v>
      </c>
      <c r="N52" s="875"/>
      <c r="O52" s="877">
        <f t="shared" si="3"/>
        <v>0</v>
      </c>
      <c r="P52" s="713">
        <v>0</v>
      </c>
      <c r="Q52" s="875"/>
      <c r="R52" s="877">
        <f t="shared" si="4"/>
        <v>0</v>
      </c>
      <c r="S52" s="713">
        <v>0</v>
      </c>
      <c r="T52" s="875"/>
      <c r="U52" s="877">
        <f t="shared" si="5"/>
        <v>0</v>
      </c>
      <c r="V52" s="713">
        <v>0</v>
      </c>
      <c r="W52" s="875"/>
      <c r="X52" s="877">
        <f t="shared" si="6"/>
        <v>0</v>
      </c>
      <c r="Y52" s="713">
        <v>0</v>
      </c>
      <c r="Z52" s="875"/>
      <c r="AA52" s="877">
        <f t="shared" si="7"/>
        <v>0</v>
      </c>
      <c r="AB52" s="713">
        <v>0</v>
      </c>
      <c r="AC52" s="875"/>
      <c r="AD52" s="877">
        <f t="shared" si="8"/>
        <v>0</v>
      </c>
      <c r="AE52" s="713">
        <v>0</v>
      </c>
      <c r="AF52" s="875"/>
      <c r="AG52" s="877">
        <f t="shared" si="9"/>
        <v>0</v>
      </c>
      <c r="AH52" s="713">
        <v>0</v>
      </c>
      <c r="AI52" s="875"/>
      <c r="AJ52" s="877">
        <f t="shared" si="10"/>
        <v>0</v>
      </c>
      <c r="AK52" s="713">
        <v>0</v>
      </c>
      <c r="CD52" s="7"/>
    </row>
    <row r="53" spans="2:82" ht="14.5">
      <c r="B53" s="7" t="s">
        <v>1374</v>
      </c>
      <c r="C53" s="882"/>
      <c r="D53" s="874" t="s">
        <v>1368</v>
      </c>
      <c r="E53" s="875"/>
      <c r="F53" s="877">
        <f t="shared" si="0"/>
        <v>120105</v>
      </c>
      <c r="G53" s="713">
        <v>0.3</v>
      </c>
      <c r="H53" s="875"/>
      <c r="I53" s="877">
        <f t="shared" si="1"/>
        <v>104917.8</v>
      </c>
      <c r="J53" s="713">
        <v>0.3</v>
      </c>
      <c r="K53" s="875"/>
      <c r="L53" s="877">
        <f t="shared" si="2"/>
        <v>107267.4</v>
      </c>
      <c r="M53" s="713">
        <v>0.3</v>
      </c>
      <c r="N53" s="875"/>
      <c r="O53" s="877">
        <f t="shared" si="3"/>
        <v>117941.09999999999</v>
      </c>
      <c r="P53" s="713">
        <v>0.3</v>
      </c>
      <c r="Q53" s="875"/>
      <c r="R53" s="877">
        <f t="shared" si="4"/>
        <v>111350.999350311</v>
      </c>
      <c r="S53" s="713">
        <v>0.3</v>
      </c>
      <c r="T53" s="875"/>
      <c r="U53" s="877">
        <f t="shared" si="5"/>
        <v>106240.8</v>
      </c>
      <c r="V53" s="713">
        <v>0.3</v>
      </c>
      <c r="W53" s="875"/>
      <c r="X53" s="877">
        <f t="shared" si="6"/>
        <v>146315.00792149664</v>
      </c>
      <c r="Y53" s="713">
        <v>0.38</v>
      </c>
      <c r="Z53" s="875"/>
      <c r="AA53" s="877">
        <f t="shared" si="7"/>
        <v>81500.309587283686</v>
      </c>
      <c r="AB53" s="713">
        <v>0.27</v>
      </c>
      <c r="AC53" s="875"/>
      <c r="AD53" s="877">
        <f t="shared" si="8"/>
        <v>85056.220094306089</v>
      </c>
      <c r="AE53" s="713">
        <v>0.27</v>
      </c>
      <c r="AF53" s="875"/>
      <c r="AG53" s="877">
        <f t="shared" si="9"/>
        <v>96030.783588250968</v>
      </c>
      <c r="AH53" s="713">
        <v>0.28000000000000003</v>
      </c>
      <c r="AI53" s="875"/>
      <c r="AJ53" s="877">
        <f t="shared" si="10"/>
        <v>99487.808657158952</v>
      </c>
      <c r="AK53" s="713">
        <v>0.28999999999999998</v>
      </c>
      <c r="CD53" s="7"/>
    </row>
    <row r="54" spans="2:82">
      <c r="Q54" s="621"/>
      <c r="S54" s="621"/>
      <c r="Z54" s="641" t="s">
        <v>983</v>
      </c>
    </row>
    <row r="56" spans="2:82" ht="18.5">
      <c r="B56" s="2579" t="s">
        <v>329</v>
      </c>
      <c r="C56" s="2579"/>
      <c r="D56" s="2579"/>
      <c r="E56" s="2579"/>
      <c r="F56" s="2579"/>
      <c r="G56" s="2579" t="s">
        <v>329</v>
      </c>
      <c r="H56" s="2579"/>
      <c r="I56" s="2579"/>
      <c r="J56" s="2579"/>
      <c r="K56" s="2579"/>
      <c r="L56" s="2579" t="s">
        <v>329</v>
      </c>
      <c r="M56" s="2579"/>
      <c r="N56" s="2579"/>
      <c r="O56" s="2579"/>
      <c r="P56" s="2579"/>
      <c r="Q56" s="2579" t="s">
        <v>329</v>
      </c>
      <c r="R56" s="2579"/>
      <c r="S56" s="2579"/>
      <c r="T56" s="2579"/>
      <c r="U56" s="2579"/>
      <c r="V56" s="2579" t="s">
        <v>329</v>
      </c>
      <c r="W56" s="2579"/>
      <c r="X56" s="2579"/>
      <c r="Y56" s="2579"/>
      <c r="Z56" s="2579"/>
      <c r="AA56" s="2560" t="s">
        <v>329</v>
      </c>
      <c r="AB56" s="2560"/>
      <c r="AC56" s="2560"/>
      <c r="AD56" s="2560"/>
      <c r="AE56" s="2560"/>
      <c r="AF56" s="2560" t="s">
        <v>329</v>
      </c>
      <c r="AG56" s="2560"/>
      <c r="AH56" s="2560"/>
      <c r="AI56" s="2560"/>
      <c r="AJ56" s="2560"/>
      <c r="AK56" s="2560" t="s">
        <v>329</v>
      </c>
      <c r="AL56" s="2560"/>
      <c r="AM56" s="2560"/>
      <c r="AN56" s="2560"/>
      <c r="AO56" s="2560"/>
      <c r="AP56" s="2560" t="s">
        <v>329</v>
      </c>
      <c r="AQ56" s="2560"/>
      <c r="AR56" s="2560"/>
      <c r="AS56" s="2560"/>
      <c r="AT56" s="2560"/>
      <c r="AU56" s="288"/>
      <c r="AV56" s="288"/>
      <c r="AW56" s="288"/>
      <c r="AX56" s="288"/>
      <c r="AY56" s="288"/>
      <c r="AZ56" s="288"/>
      <c r="BA56" s="288"/>
      <c r="BB56" s="288"/>
      <c r="BC56" s="288"/>
      <c r="BD56" s="288"/>
      <c r="BE56" s="288"/>
      <c r="BF56" s="288"/>
      <c r="BG56" s="288"/>
      <c r="BH56" s="288"/>
      <c r="BI56" s="288"/>
      <c r="BJ56" s="288"/>
      <c r="BK56" s="288"/>
      <c r="BL56" s="288"/>
      <c r="BM56" s="288"/>
      <c r="BN56" s="288"/>
      <c r="BO56" s="288"/>
      <c r="BP56" s="214"/>
      <c r="BQ56" s="214"/>
      <c r="BR56" s="214"/>
      <c r="BS56" s="214"/>
      <c r="BT56" s="214"/>
      <c r="BU56" s="214"/>
      <c r="BV56" s="214"/>
      <c r="BW56" s="214"/>
      <c r="BX56" s="214"/>
      <c r="BY56" s="214"/>
      <c r="BZ56" s="214"/>
      <c r="CA56" s="214"/>
      <c r="CB56" s="214"/>
      <c r="CC56" s="214"/>
    </row>
    <row r="57" spans="2:82" ht="18.5">
      <c r="B57" s="2579"/>
      <c r="C57" s="2579"/>
      <c r="D57" s="2579"/>
      <c r="E57" s="2579"/>
      <c r="F57" s="2579"/>
      <c r="G57" s="2579"/>
      <c r="H57" s="2579"/>
      <c r="I57" s="2579"/>
      <c r="J57" s="2579"/>
      <c r="K57" s="2579"/>
      <c r="L57" s="2579"/>
      <c r="M57" s="2579"/>
      <c r="N57" s="2579"/>
      <c r="O57" s="2579"/>
      <c r="P57" s="2579"/>
      <c r="Q57" s="2579"/>
      <c r="R57" s="2579"/>
      <c r="S57" s="2579"/>
      <c r="T57" s="2579"/>
      <c r="U57" s="2579"/>
      <c r="V57" s="2579"/>
      <c r="W57" s="2579"/>
      <c r="X57" s="2579"/>
      <c r="Y57" s="2579"/>
      <c r="Z57" s="2579"/>
      <c r="AA57" s="2560"/>
      <c r="AB57" s="2560"/>
      <c r="AC57" s="2560"/>
      <c r="AD57" s="2560"/>
      <c r="AE57" s="2560"/>
      <c r="AF57" s="2560"/>
      <c r="AG57" s="2560"/>
      <c r="AH57" s="2560"/>
      <c r="AI57" s="2560"/>
      <c r="AJ57" s="2560"/>
      <c r="AK57" s="2560"/>
      <c r="AL57" s="2560"/>
      <c r="AM57" s="2560"/>
      <c r="AN57" s="2560"/>
      <c r="AO57" s="2560"/>
      <c r="AP57" s="2560"/>
      <c r="AQ57" s="2560"/>
      <c r="AR57" s="2560"/>
      <c r="AS57" s="2560"/>
      <c r="AT57" s="2560"/>
      <c r="AU57" s="288"/>
      <c r="AV57" s="288"/>
      <c r="AW57" s="288"/>
      <c r="AX57" s="288"/>
      <c r="AY57" s="288"/>
      <c r="AZ57" s="288"/>
      <c r="BA57" s="288"/>
      <c r="BB57" s="288"/>
      <c r="BC57" s="288"/>
      <c r="BD57" s="288"/>
      <c r="BE57" s="288"/>
      <c r="BF57" s="288"/>
      <c r="BG57" s="288"/>
      <c r="BH57" s="288"/>
      <c r="BI57" s="288"/>
      <c r="BJ57" s="288"/>
      <c r="BK57" s="288"/>
      <c r="BL57" s="288"/>
      <c r="BM57" s="288"/>
      <c r="BN57" s="288"/>
      <c r="BO57" s="288"/>
      <c r="BP57" s="214"/>
      <c r="BQ57" s="214"/>
      <c r="BR57" s="214"/>
      <c r="BS57" s="214"/>
      <c r="BT57" s="214"/>
      <c r="BU57" s="214"/>
      <c r="BV57" s="214"/>
      <c r="BW57" s="214"/>
      <c r="BX57" s="214"/>
      <c r="BY57" s="214"/>
      <c r="BZ57" s="214"/>
      <c r="CA57" s="214"/>
      <c r="CB57" s="214"/>
      <c r="CC57" s="214"/>
    </row>
    <row r="58" spans="2:82">
      <c r="B58"/>
      <c r="C58"/>
      <c r="D58"/>
      <c r="E58"/>
      <c r="F58"/>
      <c r="G58"/>
      <c r="H58"/>
      <c r="I58"/>
      <c r="J58"/>
      <c r="K58"/>
      <c r="L58"/>
      <c r="M58"/>
      <c r="N58"/>
      <c r="O58"/>
      <c r="P58"/>
      <c r="Q58"/>
      <c r="R58"/>
      <c r="S58"/>
      <c r="T58"/>
      <c r="U58"/>
      <c r="V58"/>
      <c r="W58"/>
      <c r="X58"/>
      <c r="Y58"/>
      <c r="Z58"/>
      <c r="AA58"/>
      <c r="AB58"/>
    </row>
    <row r="59" spans="2:82">
      <c r="B59"/>
      <c r="C59"/>
      <c r="D59"/>
      <c r="E59"/>
      <c r="F59"/>
      <c r="G59"/>
      <c r="H59"/>
      <c r="I59"/>
      <c r="J59"/>
      <c r="K59"/>
      <c r="L59"/>
      <c r="M59"/>
      <c r="N59"/>
      <c r="O59"/>
      <c r="P59"/>
      <c r="Q59"/>
      <c r="R59"/>
      <c r="S59"/>
      <c r="T59"/>
      <c r="U59"/>
      <c r="V59"/>
      <c r="W59"/>
      <c r="X59"/>
      <c r="Y59"/>
      <c r="Z59"/>
      <c r="AA59"/>
      <c r="AB59"/>
    </row>
    <row r="60" spans="2:82">
      <c r="B60"/>
      <c r="C60"/>
      <c r="D60"/>
      <c r="E60"/>
      <c r="F60"/>
      <c r="G60"/>
      <c r="H60"/>
      <c r="I60"/>
      <c r="J60"/>
      <c r="K60"/>
      <c r="L60"/>
      <c r="M60"/>
      <c r="N60"/>
      <c r="O60"/>
      <c r="P60"/>
      <c r="Q60"/>
      <c r="R60"/>
      <c r="S60"/>
      <c r="T60"/>
      <c r="U60"/>
      <c r="V60"/>
      <c r="W60"/>
      <c r="X60"/>
      <c r="Y60"/>
      <c r="Z60"/>
      <c r="AA60"/>
      <c r="AB60"/>
    </row>
    <row r="61" spans="2:82" ht="21.5" thickBot="1">
      <c r="B61"/>
      <c r="C61" s="2543" t="s">
        <v>0</v>
      </c>
      <c r="D61" s="2543"/>
      <c r="E61" s="2598" t="s">
        <v>330</v>
      </c>
      <c r="F61" s="2598"/>
      <c r="G61" s="2598"/>
      <c r="H61" s="2598"/>
      <c r="I61" s="2598"/>
      <c r="J61" s="2598"/>
      <c r="K61" s="2598"/>
      <c r="L61" s="2598"/>
      <c r="M61" s="2598"/>
      <c r="N61" s="2598"/>
      <c r="O61" s="2598"/>
      <c r="P61" s="2598"/>
      <c r="Q61" s="2598"/>
      <c r="R61" s="2598"/>
      <c r="S61" s="2598"/>
      <c r="T61" s="2598"/>
      <c r="U61" s="2598"/>
      <c r="V61" s="2598"/>
      <c r="W61" s="2598"/>
      <c r="X61" s="2598"/>
      <c r="Y61" s="2598"/>
      <c r="Z61"/>
      <c r="AA61"/>
      <c r="AB61"/>
      <c r="BY61"/>
      <c r="BZ61"/>
      <c r="CA61"/>
      <c r="CB61"/>
      <c r="CC61"/>
    </row>
    <row r="62" spans="2:82" ht="14.5">
      <c r="B62"/>
      <c r="C62" s="2543" t="s">
        <v>698</v>
      </c>
      <c r="D62" s="2580" t="s">
        <v>331</v>
      </c>
      <c r="E62" s="2581">
        <v>1994</v>
      </c>
      <c r="F62" s="2582"/>
      <c r="G62" s="2583"/>
      <c r="H62" s="2581">
        <v>2000</v>
      </c>
      <c r="I62" s="2582"/>
      <c r="J62" s="2583"/>
      <c r="K62" s="2581">
        <v>2006</v>
      </c>
      <c r="L62" s="2582"/>
      <c r="M62" s="2583"/>
      <c r="N62" s="2581">
        <v>2010</v>
      </c>
      <c r="O62" s="2582"/>
      <c r="P62" s="2583"/>
      <c r="Q62" s="2581">
        <v>2012</v>
      </c>
      <c r="R62" s="2582"/>
      <c r="S62" s="2583"/>
      <c r="T62" s="2581">
        <v>2014</v>
      </c>
      <c r="U62" s="2582"/>
      <c r="V62" s="2583"/>
      <c r="W62" s="2585">
        <v>2016</v>
      </c>
      <c r="X62" s="2574"/>
      <c r="Y62" s="2586"/>
      <c r="Z62" s="2585">
        <v>2018</v>
      </c>
      <c r="AA62" s="2574"/>
      <c r="AB62" s="2586"/>
      <c r="AC62" s="2585">
        <v>2020</v>
      </c>
      <c r="AD62" s="2574"/>
      <c r="AE62" s="2586"/>
      <c r="AF62" s="2585">
        <v>2021</v>
      </c>
      <c r="AG62" s="2574"/>
      <c r="AH62" s="2586"/>
      <c r="AI62" s="2585">
        <v>2022</v>
      </c>
      <c r="AJ62" s="2574"/>
      <c r="AK62" s="2586"/>
      <c r="BY62"/>
      <c r="BZ62"/>
      <c r="CA62"/>
      <c r="CB62"/>
      <c r="CC62"/>
    </row>
    <row r="63" spans="2:82" ht="58">
      <c r="B63"/>
      <c r="C63" s="2543"/>
      <c r="D63" s="2580"/>
      <c r="E63" s="259" t="s">
        <v>3</v>
      </c>
      <c r="F63" s="246" t="s">
        <v>332</v>
      </c>
      <c r="G63" s="260" t="s">
        <v>333</v>
      </c>
      <c r="H63" s="259" t="s">
        <v>3</v>
      </c>
      <c r="I63" s="246" t="s">
        <v>332</v>
      </c>
      <c r="J63" s="260" t="s">
        <v>333</v>
      </c>
      <c r="K63" s="259" t="s">
        <v>3</v>
      </c>
      <c r="L63" s="246" t="s">
        <v>332</v>
      </c>
      <c r="M63" s="260" t="s">
        <v>333</v>
      </c>
      <c r="N63" s="259" t="s">
        <v>3</v>
      </c>
      <c r="O63" s="246" t="s">
        <v>332</v>
      </c>
      <c r="P63" s="260" t="s">
        <v>333</v>
      </c>
      <c r="Q63" s="259" t="s">
        <v>3</v>
      </c>
      <c r="R63" s="246" t="s">
        <v>332</v>
      </c>
      <c r="S63" s="260" t="s">
        <v>333</v>
      </c>
      <c r="T63" s="259" t="s">
        <v>3</v>
      </c>
      <c r="U63" s="246" t="s">
        <v>332</v>
      </c>
      <c r="V63" s="260" t="s">
        <v>333</v>
      </c>
      <c r="W63" s="259" t="s">
        <v>3</v>
      </c>
      <c r="X63" s="246" t="s">
        <v>332</v>
      </c>
      <c r="Y63" s="260" t="s">
        <v>333</v>
      </c>
      <c r="Z63" s="259" t="s">
        <v>3</v>
      </c>
      <c r="AA63" s="246" t="s">
        <v>332</v>
      </c>
      <c r="AB63" s="260" t="s">
        <v>333</v>
      </c>
      <c r="AC63" s="259" t="s">
        <v>3</v>
      </c>
      <c r="AD63" s="246" t="s">
        <v>332</v>
      </c>
      <c r="AE63" s="808" t="s">
        <v>333</v>
      </c>
      <c r="AF63" s="259" t="s">
        <v>3</v>
      </c>
      <c r="AG63" s="246" t="s">
        <v>332</v>
      </c>
      <c r="AH63" s="260" t="s">
        <v>333</v>
      </c>
      <c r="AI63" s="259" t="s">
        <v>3</v>
      </c>
      <c r="AJ63" s="246" t="s">
        <v>332</v>
      </c>
      <c r="AK63" s="260" t="s">
        <v>333</v>
      </c>
      <c r="BY63"/>
      <c r="BZ63"/>
      <c r="CA63"/>
      <c r="CB63"/>
      <c r="CC63"/>
    </row>
    <row r="64" spans="2:82" ht="14.5">
      <c r="B64"/>
      <c r="C64" s="244" t="s">
        <v>334</v>
      </c>
      <c r="D64" s="257">
        <v>0.83</v>
      </c>
      <c r="E64" s="261" t="s">
        <v>1009</v>
      </c>
      <c r="F64" s="251">
        <v>1290518.29</v>
      </c>
      <c r="G64" s="262">
        <f>D64*F64*1000</f>
        <v>1071130180.6999999</v>
      </c>
      <c r="H64" s="261" t="s">
        <v>17</v>
      </c>
      <c r="I64" s="253">
        <v>1239269</v>
      </c>
      <c r="J64" s="262">
        <f t="shared" ref="J64:J83" si="11">D64*I64*1000</f>
        <v>1028593269.9999999</v>
      </c>
      <c r="K64" s="261" t="s">
        <v>18</v>
      </c>
      <c r="L64" s="253">
        <v>1501238</v>
      </c>
      <c r="M64" s="262">
        <f t="shared" ref="M64:M83" si="12">D64*L64*1000</f>
        <v>1246027540</v>
      </c>
      <c r="N64" s="268" t="s">
        <v>19</v>
      </c>
      <c r="O64" s="253">
        <v>1706193</v>
      </c>
      <c r="P64" s="262">
        <f t="shared" ref="P64:P83" si="13">D64*O64*1000</f>
        <v>1416140190</v>
      </c>
      <c r="Q64" s="268" t="s">
        <v>20</v>
      </c>
      <c r="R64" s="253">
        <v>1565535.2792101367</v>
      </c>
      <c r="S64" s="262">
        <f t="shared" ref="S64:S83" si="14">D64*R64*1000</f>
        <v>1299394281.7444136</v>
      </c>
      <c r="T64" s="268" t="s">
        <v>412</v>
      </c>
      <c r="U64" s="804">
        <v>1379953.5910790721</v>
      </c>
      <c r="V64" s="262">
        <f>D64*U64*1000</f>
        <v>1145361480.5956299</v>
      </c>
      <c r="W64" s="805" t="s">
        <v>967</v>
      </c>
      <c r="X64" s="804">
        <v>1534537.14876418</v>
      </c>
      <c r="Y64" s="732">
        <f t="shared" ref="Y64:Y83" si="15">D64*X64*1000</f>
        <v>1273665833.4742694</v>
      </c>
      <c r="Z64" s="805" t="s">
        <v>985</v>
      </c>
      <c r="AA64" s="804">
        <v>1350092.7077205775</v>
      </c>
      <c r="AB64" s="732">
        <f>D64*AA64*1000</f>
        <v>1120576947.4080791</v>
      </c>
      <c r="AC64" s="805" t="s">
        <v>1256</v>
      </c>
      <c r="AD64" s="804">
        <v>1336501.83729319</v>
      </c>
      <c r="AE64" s="732">
        <f>D64*AD64*1000</f>
        <v>1109296524.9533477</v>
      </c>
      <c r="AF64" s="805" t="s">
        <v>1257</v>
      </c>
      <c r="AG64" s="804">
        <v>1503526.5685693698</v>
      </c>
      <c r="AH64" s="732">
        <f>D64*AG64*1000</f>
        <v>1247927051.9125769</v>
      </c>
      <c r="AI64" s="805" t="s">
        <v>1258</v>
      </c>
      <c r="AJ64" s="804">
        <v>1561211.3866836196</v>
      </c>
      <c r="AK64" s="732">
        <f>D64*AJ64*1000</f>
        <v>1295805450.9474041</v>
      </c>
      <c r="BY64"/>
      <c r="BZ64"/>
      <c r="CA64"/>
      <c r="CB64"/>
      <c r="CC64"/>
    </row>
    <row r="65" spans="2:81" ht="14.5">
      <c r="B65"/>
      <c r="C65" s="244" t="s">
        <v>335</v>
      </c>
      <c r="D65" s="257">
        <v>0.83</v>
      </c>
      <c r="E65" s="261"/>
      <c r="F65" s="251"/>
      <c r="G65" s="262">
        <f t="shared" ref="G65:G83" si="16">D65*F65*1000</f>
        <v>0</v>
      </c>
      <c r="H65" s="261" t="s">
        <v>17</v>
      </c>
      <c r="I65" s="253">
        <v>7365</v>
      </c>
      <c r="J65" s="262">
        <f t="shared" si="11"/>
        <v>6112950</v>
      </c>
      <c r="K65" s="261" t="s">
        <v>18</v>
      </c>
      <c r="L65" s="253">
        <v>0</v>
      </c>
      <c r="M65" s="262">
        <f t="shared" si="12"/>
        <v>0</v>
      </c>
      <c r="N65" s="268" t="s">
        <v>19</v>
      </c>
      <c r="O65" s="253">
        <v>0</v>
      </c>
      <c r="P65" s="262">
        <f t="shared" si="13"/>
        <v>0</v>
      </c>
      <c r="Q65" s="268" t="s">
        <v>20</v>
      </c>
      <c r="R65" s="253"/>
      <c r="S65" s="262">
        <f t="shared" si="14"/>
        <v>0</v>
      </c>
      <c r="T65" s="268" t="s">
        <v>412</v>
      </c>
      <c r="U65" s="804"/>
      <c r="V65" s="262">
        <f t="shared" ref="V65:V83" si="17">D65*U65*1000</f>
        <v>0</v>
      </c>
      <c r="W65" s="805" t="s">
        <v>967</v>
      </c>
      <c r="X65" s="804"/>
      <c r="Y65" s="732">
        <f t="shared" si="15"/>
        <v>0</v>
      </c>
      <c r="Z65" s="805" t="s">
        <v>985</v>
      </c>
      <c r="AA65" s="804"/>
      <c r="AB65" s="732">
        <f t="shared" ref="AB65:AB83" si="18">D65*AA65*1000</f>
        <v>0</v>
      </c>
      <c r="AC65" s="805" t="s">
        <v>1256</v>
      </c>
      <c r="AD65" s="804"/>
      <c r="AE65" s="732">
        <f t="shared" ref="AE65:AE83" si="19">D65*AD65*1000</f>
        <v>0</v>
      </c>
      <c r="AF65" s="805" t="s">
        <v>1257</v>
      </c>
      <c r="AG65" s="804">
        <v>687.04945887819463</v>
      </c>
      <c r="AH65" s="732">
        <f t="shared" ref="AH65:AH83" si="20">D65*AG65*1000</f>
        <v>570251.05086890154</v>
      </c>
      <c r="AI65" s="805" t="s">
        <v>1258</v>
      </c>
      <c r="AJ65" s="804">
        <v>59.916354148350571</v>
      </c>
      <c r="AK65" s="732">
        <f t="shared" ref="AK65:AK83" si="21">D65*AJ65*1000</f>
        <v>49730.57394313097</v>
      </c>
      <c r="BY65"/>
      <c r="BZ65"/>
      <c r="CA65"/>
      <c r="CB65"/>
      <c r="CC65"/>
    </row>
    <row r="66" spans="2:81" ht="14.5">
      <c r="B66" s="245"/>
      <c r="C66" s="244" t="s">
        <v>336</v>
      </c>
      <c r="D66" s="257">
        <v>0.83</v>
      </c>
      <c r="E66" s="261" t="s">
        <v>1009</v>
      </c>
      <c r="F66" s="251">
        <v>31683.48</v>
      </c>
      <c r="G66" s="262">
        <f t="shared" si="16"/>
        <v>26297288.399999999</v>
      </c>
      <c r="H66" s="261" t="s">
        <v>17</v>
      </c>
      <c r="I66" s="253">
        <v>24897</v>
      </c>
      <c r="J66" s="262">
        <f t="shared" si="11"/>
        <v>20664510</v>
      </c>
      <c r="K66" s="261" t="s">
        <v>18</v>
      </c>
      <c r="L66" s="253">
        <v>23438</v>
      </c>
      <c r="M66" s="262">
        <f t="shared" si="12"/>
        <v>19453540</v>
      </c>
      <c r="N66" s="261" t="s">
        <v>19</v>
      </c>
      <c r="O66" s="253">
        <v>18733</v>
      </c>
      <c r="P66" s="262">
        <f t="shared" si="13"/>
        <v>15548390</v>
      </c>
      <c r="Q66" s="261" t="s">
        <v>20</v>
      </c>
      <c r="R66" s="253">
        <v>10961.921772403583</v>
      </c>
      <c r="S66" s="262">
        <f t="shared" si="14"/>
        <v>9098395.071094973</v>
      </c>
      <c r="T66" s="261" t="s">
        <v>412</v>
      </c>
      <c r="U66" s="804">
        <v>14489.93834772962</v>
      </c>
      <c r="V66" s="262">
        <f t="shared" si="17"/>
        <v>12026648.828615583</v>
      </c>
      <c r="W66" s="805" t="s">
        <v>967</v>
      </c>
      <c r="X66" s="804">
        <v>25414.101790070996</v>
      </c>
      <c r="Y66" s="732">
        <f t="shared" si="15"/>
        <v>21093704.485758923</v>
      </c>
      <c r="Z66" s="805" t="s">
        <v>985</v>
      </c>
      <c r="AA66" s="804">
        <v>13673.51656460859</v>
      </c>
      <c r="AB66" s="732">
        <f t="shared" si="18"/>
        <v>11349018.748625129</v>
      </c>
      <c r="AC66" s="805" t="s">
        <v>1256</v>
      </c>
      <c r="AD66" s="804">
        <v>14107.492032845475</v>
      </c>
      <c r="AE66" s="732">
        <f t="shared" si="19"/>
        <v>11709218.387261745</v>
      </c>
      <c r="AF66" s="805" t="s">
        <v>1257</v>
      </c>
      <c r="AG66" s="804">
        <v>14680.862720701358</v>
      </c>
      <c r="AH66" s="732">
        <f t="shared" si="20"/>
        <v>12185116.058182126</v>
      </c>
      <c r="AI66" s="805" t="s">
        <v>1258</v>
      </c>
      <c r="AJ66" s="804">
        <v>11155.094684484813</v>
      </c>
      <c r="AK66" s="732">
        <f t="shared" si="21"/>
        <v>9258728.5881223939</v>
      </c>
      <c r="BY66"/>
      <c r="BZ66"/>
      <c r="CA66"/>
      <c r="CB66"/>
      <c r="CC66"/>
    </row>
    <row r="67" spans="2:81" ht="14.5">
      <c r="C67" s="244" t="s">
        <v>337</v>
      </c>
      <c r="D67" s="257">
        <v>0.83</v>
      </c>
      <c r="E67" s="261"/>
      <c r="F67" s="251"/>
      <c r="G67" s="262">
        <f t="shared" si="16"/>
        <v>0</v>
      </c>
      <c r="H67" s="261" t="s">
        <v>17</v>
      </c>
      <c r="I67" s="253">
        <v>224</v>
      </c>
      <c r="J67" s="262">
        <f t="shared" si="11"/>
        <v>185920</v>
      </c>
      <c r="K67" s="261" t="s">
        <v>18</v>
      </c>
      <c r="L67" s="253">
        <v>0</v>
      </c>
      <c r="M67" s="262">
        <f t="shared" si="12"/>
        <v>0</v>
      </c>
      <c r="N67" s="268" t="s">
        <v>19</v>
      </c>
      <c r="O67" s="253">
        <v>0</v>
      </c>
      <c r="P67" s="262">
        <f t="shared" si="13"/>
        <v>0</v>
      </c>
      <c r="Q67" s="268" t="s">
        <v>20</v>
      </c>
      <c r="R67" s="253"/>
      <c r="S67" s="262">
        <f t="shared" si="14"/>
        <v>0</v>
      </c>
      <c r="T67" s="268" t="s">
        <v>412</v>
      </c>
      <c r="U67" s="804"/>
      <c r="V67" s="262">
        <f t="shared" si="17"/>
        <v>0</v>
      </c>
      <c r="W67" s="805" t="s">
        <v>967</v>
      </c>
      <c r="X67" s="804"/>
      <c r="Y67" s="732">
        <f t="shared" si="15"/>
        <v>0</v>
      </c>
      <c r="Z67" s="805" t="s">
        <v>985</v>
      </c>
      <c r="AA67" s="804"/>
      <c r="AB67" s="732">
        <f t="shared" si="18"/>
        <v>0</v>
      </c>
      <c r="AC67" s="805" t="s">
        <v>1256</v>
      </c>
      <c r="AD67" s="804"/>
      <c r="AE67" s="732">
        <f t="shared" si="19"/>
        <v>0</v>
      </c>
      <c r="AF67" s="805" t="s">
        <v>1257</v>
      </c>
      <c r="AG67" s="804"/>
      <c r="AH67" s="732">
        <f t="shared" si="20"/>
        <v>0</v>
      </c>
      <c r="AI67" s="805" t="s">
        <v>1258</v>
      </c>
      <c r="AJ67" s="804"/>
      <c r="AK67" s="732">
        <f t="shared" si="21"/>
        <v>0</v>
      </c>
      <c r="BY67"/>
      <c r="BZ67"/>
      <c r="CA67"/>
      <c r="CB67"/>
      <c r="CC67"/>
    </row>
    <row r="68" spans="2:81" ht="14.5">
      <c r="C68" s="244" t="s">
        <v>338</v>
      </c>
      <c r="D68" s="257">
        <v>0.87</v>
      </c>
      <c r="E68" s="261" t="s">
        <v>1009</v>
      </c>
      <c r="F68" s="251">
        <v>489692.26</v>
      </c>
      <c r="G68" s="262">
        <f t="shared" si="16"/>
        <v>426032266.19999999</v>
      </c>
      <c r="H68" s="261" t="s">
        <v>17</v>
      </c>
      <c r="I68" s="253">
        <v>487825</v>
      </c>
      <c r="J68" s="262">
        <f t="shared" si="11"/>
        <v>424407750</v>
      </c>
      <c r="K68" s="261" t="s">
        <v>18</v>
      </c>
      <c r="L68" s="253">
        <v>647184</v>
      </c>
      <c r="M68" s="262">
        <f t="shared" si="12"/>
        <v>563050080</v>
      </c>
      <c r="N68" s="268" t="s">
        <v>19</v>
      </c>
      <c r="O68" s="253">
        <v>412021</v>
      </c>
      <c r="P68" s="262">
        <f t="shared" si="13"/>
        <v>358458270</v>
      </c>
      <c r="Q68" s="268" t="s">
        <v>20</v>
      </c>
      <c r="R68" s="253">
        <v>1130552.5426280159</v>
      </c>
      <c r="S68" s="262">
        <f t="shared" si="14"/>
        <v>983580712.08637381</v>
      </c>
      <c r="T68" s="268" t="s">
        <v>412</v>
      </c>
      <c r="U68" s="804">
        <v>1468801.705974001</v>
      </c>
      <c r="V68" s="262">
        <f t="shared" si="17"/>
        <v>1277857484.197381</v>
      </c>
      <c r="W68" s="805" t="s">
        <v>967</v>
      </c>
      <c r="X68" s="804">
        <v>1028521.5869657231</v>
      </c>
      <c r="Y68" s="732">
        <f t="shared" si="15"/>
        <v>894813780.66017914</v>
      </c>
      <c r="Z68" s="805" t="s">
        <v>985</v>
      </c>
      <c r="AA68" s="804">
        <v>1306660.6873483995</v>
      </c>
      <c r="AB68" s="732">
        <f t="shared" si="18"/>
        <v>1136794797.9931078</v>
      </c>
      <c r="AC68" s="805" t="s">
        <v>1256</v>
      </c>
      <c r="AD68" s="804">
        <v>1286416.5315329654</v>
      </c>
      <c r="AE68" s="732">
        <f t="shared" si="19"/>
        <v>1119182382.4336798</v>
      </c>
      <c r="AF68" s="805" t="s">
        <v>1257</v>
      </c>
      <c r="AG68" s="804">
        <v>1657355.4253143671</v>
      </c>
      <c r="AH68" s="732">
        <f t="shared" si="20"/>
        <v>1441899220.0234993</v>
      </c>
      <c r="AI68" s="805" t="s">
        <v>1258</v>
      </c>
      <c r="AJ68" s="804">
        <v>1613368.6989196222</v>
      </c>
      <c r="AK68" s="732">
        <f t="shared" si="21"/>
        <v>1403630768.0600715</v>
      </c>
      <c r="BY68"/>
      <c r="BZ68"/>
      <c r="CA68"/>
      <c r="CB68"/>
      <c r="CC68"/>
    </row>
    <row r="69" spans="2:81" ht="14.5">
      <c r="C69" s="244" t="s">
        <v>339</v>
      </c>
      <c r="D69" s="257">
        <v>0.87</v>
      </c>
      <c r="E69" s="261"/>
      <c r="F69" s="252"/>
      <c r="G69" s="262">
        <f t="shared" si="16"/>
        <v>0</v>
      </c>
      <c r="H69" s="261" t="s">
        <v>17</v>
      </c>
      <c r="I69" s="253">
        <v>27478</v>
      </c>
      <c r="J69" s="262">
        <f t="shared" si="11"/>
        <v>23905860</v>
      </c>
      <c r="K69" s="261" t="s">
        <v>18</v>
      </c>
      <c r="L69" s="253">
        <v>35854</v>
      </c>
      <c r="M69" s="262">
        <f t="shared" si="12"/>
        <v>31192980</v>
      </c>
      <c r="N69" s="268" t="s">
        <v>19</v>
      </c>
      <c r="O69" s="253">
        <v>456006</v>
      </c>
      <c r="P69" s="262">
        <f t="shared" si="13"/>
        <v>396725220</v>
      </c>
      <c r="Q69" s="268" t="s">
        <v>20</v>
      </c>
      <c r="R69" s="253">
        <v>84640.051552251563</v>
      </c>
      <c r="S69" s="262">
        <f t="shared" si="14"/>
        <v>73636844.85045886</v>
      </c>
      <c r="T69" s="268" t="s">
        <v>412</v>
      </c>
      <c r="U69" s="804">
        <v>64417.013974605266</v>
      </c>
      <c r="V69" s="262">
        <f t="shared" si="17"/>
        <v>56042802.157906584</v>
      </c>
      <c r="W69" s="805" t="s">
        <v>967</v>
      </c>
      <c r="X69" s="804">
        <v>62586.483453487883</v>
      </c>
      <c r="Y69" s="732">
        <f t="shared" si="15"/>
        <v>54450240.604534455</v>
      </c>
      <c r="Z69" s="805" t="s">
        <v>985</v>
      </c>
      <c r="AA69" s="804">
        <v>17486.237006771367</v>
      </c>
      <c r="AB69" s="732">
        <f t="shared" si="18"/>
        <v>15213026.195891088</v>
      </c>
      <c r="AC69" s="805" t="s">
        <v>1256</v>
      </c>
      <c r="AD69" s="804">
        <v>18467.852500783825</v>
      </c>
      <c r="AE69" s="732">
        <f t="shared" si="19"/>
        <v>16067031.675681928</v>
      </c>
      <c r="AF69" s="805" t="s">
        <v>1257</v>
      </c>
      <c r="AG69" s="804">
        <v>42014.182586138428</v>
      </c>
      <c r="AH69" s="732">
        <f t="shared" si="20"/>
        <v>36552338.849940434</v>
      </c>
      <c r="AI69" s="805" t="s">
        <v>1258</v>
      </c>
      <c r="AJ69" s="804">
        <v>27762.535113432736</v>
      </c>
      <c r="AK69" s="732">
        <f t="shared" si="21"/>
        <v>24153405.548686478</v>
      </c>
      <c r="BY69"/>
      <c r="BZ69"/>
      <c r="CA69"/>
      <c r="CB69"/>
      <c r="CC69"/>
    </row>
    <row r="70" spans="2:81" ht="14.5">
      <c r="C70" s="244" t="s">
        <v>1194</v>
      </c>
      <c r="D70" s="257">
        <v>0.4</v>
      </c>
      <c r="E70" s="261"/>
      <c r="F70" s="251"/>
      <c r="G70" s="262">
        <f t="shared" si="16"/>
        <v>0</v>
      </c>
      <c r="H70" s="261" t="s">
        <v>17</v>
      </c>
      <c r="I70" s="253">
        <v>4603</v>
      </c>
      <c r="J70" s="262">
        <f t="shared" si="11"/>
        <v>1841200</v>
      </c>
      <c r="K70" s="261" t="s">
        <v>18</v>
      </c>
      <c r="L70" s="253">
        <v>30738</v>
      </c>
      <c r="M70" s="262">
        <f t="shared" si="12"/>
        <v>12295200</v>
      </c>
      <c r="N70" s="268" t="s">
        <v>19</v>
      </c>
      <c r="O70" s="253">
        <v>11420</v>
      </c>
      <c r="P70" s="262">
        <f t="shared" si="13"/>
        <v>4568000</v>
      </c>
      <c r="Q70" s="268" t="s">
        <v>20</v>
      </c>
      <c r="R70" s="253">
        <v>8773.5849823466633</v>
      </c>
      <c r="S70" s="262">
        <f t="shared" si="14"/>
        <v>3509433.9929386657</v>
      </c>
      <c r="T70" s="268" t="s">
        <v>412</v>
      </c>
      <c r="U70" s="804">
        <v>22780.467360429673</v>
      </c>
      <c r="V70" s="262">
        <f t="shared" si="17"/>
        <v>9112186.9441718701</v>
      </c>
      <c r="W70" s="805" t="s">
        <v>967</v>
      </c>
      <c r="X70" s="804">
        <v>22699.186038205236</v>
      </c>
      <c r="Y70" s="732">
        <f t="shared" si="15"/>
        <v>9079674.4152820949</v>
      </c>
      <c r="Z70" s="805" t="s">
        <v>985</v>
      </c>
      <c r="AA70" s="804">
        <v>42296.133933481062</v>
      </c>
      <c r="AB70" s="732">
        <f t="shared" si="18"/>
        <v>16918453.573392425</v>
      </c>
      <c r="AC70" s="805" t="s">
        <v>1256</v>
      </c>
      <c r="AD70" s="804">
        <v>83119.530780318732</v>
      </c>
      <c r="AE70" s="732">
        <f t="shared" si="19"/>
        <v>33247812.31212749</v>
      </c>
      <c r="AF70" s="805" t="s">
        <v>1257</v>
      </c>
      <c r="AG70" s="804">
        <v>35898.188749839443</v>
      </c>
      <c r="AH70" s="732">
        <f t="shared" si="20"/>
        <v>14359275.499935778</v>
      </c>
      <c r="AI70" s="805" t="s">
        <v>1258</v>
      </c>
      <c r="AJ70" s="804">
        <v>33832.959475361924</v>
      </c>
      <c r="AK70" s="732">
        <f t="shared" si="21"/>
        <v>13533183.790144771</v>
      </c>
      <c r="BY70"/>
      <c r="BZ70"/>
      <c r="CA70"/>
      <c r="CB70"/>
      <c r="CC70"/>
    </row>
    <row r="71" spans="2:81" ht="14.5">
      <c r="C71" s="244" t="s">
        <v>1195</v>
      </c>
      <c r="D71" s="257">
        <v>0.4</v>
      </c>
      <c r="E71" s="261"/>
      <c r="F71" s="251"/>
      <c r="G71" s="262">
        <f t="shared" si="16"/>
        <v>0</v>
      </c>
      <c r="H71" s="261" t="s">
        <v>17</v>
      </c>
      <c r="I71" s="253">
        <v>687</v>
      </c>
      <c r="J71" s="262">
        <f t="shared" si="11"/>
        <v>274800</v>
      </c>
      <c r="K71" s="261" t="s">
        <v>18</v>
      </c>
      <c r="L71" s="253">
        <v>3898</v>
      </c>
      <c r="M71" s="262">
        <f t="shared" si="12"/>
        <v>1559200</v>
      </c>
      <c r="N71" s="268" t="s">
        <v>19</v>
      </c>
      <c r="O71" s="253">
        <v>13377</v>
      </c>
      <c r="P71" s="262">
        <f t="shared" si="13"/>
        <v>5350800</v>
      </c>
      <c r="Q71" s="268" t="s">
        <v>20</v>
      </c>
      <c r="R71" s="253">
        <v>19362.060440054051</v>
      </c>
      <c r="S71" s="262">
        <f t="shared" si="14"/>
        <v>7744824.1760216206</v>
      </c>
      <c r="T71" s="268" t="s">
        <v>412</v>
      </c>
      <c r="U71" s="804">
        <v>13937.691248165209</v>
      </c>
      <c r="V71" s="262">
        <f t="shared" si="17"/>
        <v>5575076.4992660843</v>
      </c>
      <c r="W71" s="805" t="s">
        <v>967</v>
      </c>
      <c r="X71" s="804">
        <v>7551.3164893569792</v>
      </c>
      <c r="Y71" s="732">
        <f t="shared" si="15"/>
        <v>3020526.5957427919</v>
      </c>
      <c r="Z71" s="805" t="s">
        <v>985</v>
      </c>
      <c r="AA71" s="804">
        <v>7556.4412278116242</v>
      </c>
      <c r="AB71" s="732">
        <f t="shared" si="18"/>
        <v>3022576.4911246495</v>
      </c>
      <c r="AC71" s="805" t="s">
        <v>1256</v>
      </c>
      <c r="AD71" s="804">
        <v>5474.6167005439693</v>
      </c>
      <c r="AE71" s="732">
        <f t="shared" si="19"/>
        <v>2189846.6802175874</v>
      </c>
      <c r="AF71" s="805" t="s">
        <v>1257</v>
      </c>
      <c r="AG71" s="804">
        <v>6915.1170030414287</v>
      </c>
      <c r="AH71" s="732">
        <f t="shared" si="20"/>
        <v>2766046.8012165716</v>
      </c>
      <c r="AI71" s="805" t="s">
        <v>1258</v>
      </c>
      <c r="AJ71" s="804">
        <v>5618.7013118399227</v>
      </c>
      <c r="AK71" s="732">
        <f t="shared" si="21"/>
        <v>2247480.524735969</v>
      </c>
      <c r="BY71"/>
      <c r="BZ71"/>
      <c r="CA71"/>
      <c r="CB71"/>
      <c r="CC71"/>
    </row>
    <row r="72" spans="2:81" ht="14.5">
      <c r="C72" s="244" t="s">
        <v>1190</v>
      </c>
      <c r="D72" s="257">
        <v>0.87</v>
      </c>
      <c r="E72" s="261" t="s">
        <v>1009</v>
      </c>
      <c r="F72" s="251">
        <v>67696.149999999994</v>
      </c>
      <c r="G72" s="262">
        <f t="shared" si="16"/>
        <v>58895650.499999993</v>
      </c>
      <c r="H72" s="261" t="s">
        <v>17</v>
      </c>
      <c r="I72" s="253">
        <v>46068</v>
      </c>
      <c r="J72" s="262">
        <f t="shared" si="11"/>
        <v>40079159.999999993</v>
      </c>
      <c r="K72" s="261" t="s">
        <v>18</v>
      </c>
      <c r="L72" s="253">
        <v>34839</v>
      </c>
      <c r="M72" s="262">
        <f t="shared" si="12"/>
        <v>30309930</v>
      </c>
      <c r="N72" s="268" t="s">
        <v>19</v>
      </c>
      <c r="O72" s="253">
        <v>17125</v>
      </c>
      <c r="P72" s="262">
        <f t="shared" si="13"/>
        <v>14898750</v>
      </c>
      <c r="Q72" s="268" t="s">
        <v>20</v>
      </c>
      <c r="R72" s="253">
        <v>8682.668399507882</v>
      </c>
      <c r="S72" s="262">
        <f t="shared" si="14"/>
        <v>7553921.5075718574</v>
      </c>
      <c r="T72" s="268" t="s">
        <v>412</v>
      </c>
      <c r="U72" s="804">
        <v>17057.902897765904</v>
      </c>
      <c r="V72" s="262">
        <f t="shared" si="17"/>
        <v>14840375.521056335</v>
      </c>
      <c r="W72" s="805" t="s">
        <v>967</v>
      </c>
      <c r="X72" s="804">
        <v>7912.0672232830302</v>
      </c>
      <c r="Y72" s="732">
        <f t="shared" si="15"/>
        <v>6883498.4842562359</v>
      </c>
      <c r="Z72" s="805" t="s">
        <v>985</v>
      </c>
      <c r="AA72" s="804">
        <v>7355.1166453500555</v>
      </c>
      <c r="AB72" s="732">
        <f t="shared" si="18"/>
        <v>6398951.4814545484</v>
      </c>
      <c r="AC72" s="805" t="s">
        <v>1256</v>
      </c>
      <c r="AD72" s="804">
        <v>15911.221471612143</v>
      </c>
      <c r="AE72" s="732">
        <f t="shared" si="19"/>
        <v>13842762.680302566</v>
      </c>
      <c r="AF72" s="805" t="s">
        <v>1257</v>
      </c>
      <c r="AG72" s="804">
        <v>22034.519241355527</v>
      </c>
      <c r="AH72" s="732">
        <f t="shared" si="20"/>
        <v>19170031.739979308</v>
      </c>
      <c r="AI72" s="805" t="s">
        <v>1258</v>
      </c>
      <c r="AJ72" s="804">
        <v>10290.953890283423</v>
      </c>
      <c r="AK72" s="732">
        <f t="shared" si="21"/>
        <v>8953129.8845465779</v>
      </c>
      <c r="BY72"/>
      <c r="BZ72"/>
      <c r="CA72"/>
      <c r="CB72"/>
      <c r="CC72"/>
    </row>
    <row r="73" spans="2:81" ht="14.5">
      <c r="C73" s="244" t="s">
        <v>1191</v>
      </c>
      <c r="D73" s="257">
        <v>0.87</v>
      </c>
      <c r="E73" s="261"/>
      <c r="F73" s="251"/>
      <c r="G73" s="262">
        <f t="shared" si="16"/>
        <v>0</v>
      </c>
      <c r="H73" s="261" t="s">
        <v>17</v>
      </c>
      <c r="I73" s="253">
        <v>26145</v>
      </c>
      <c r="J73" s="262">
        <f t="shared" si="11"/>
        <v>22746150</v>
      </c>
      <c r="K73" s="261" t="s">
        <v>18</v>
      </c>
      <c r="L73" s="253">
        <v>15750</v>
      </c>
      <c r="M73" s="262">
        <f t="shared" si="12"/>
        <v>13702500</v>
      </c>
      <c r="N73" s="268" t="s">
        <v>19</v>
      </c>
      <c r="O73" s="253">
        <v>20422</v>
      </c>
      <c r="P73" s="262">
        <f t="shared" si="13"/>
        <v>17767140</v>
      </c>
      <c r="Q73" s="268" t="s">
        <v>20</v>
      </c>
      <c r="R73" s="253">
        <v>4896.7510561045492</v>
      </c>
      <c r="S73" s="262">
        <f t="shared" si="14"/>
        <v>4260173.418810958</v>
      </c>
      <c r="T73" s="268" t="s">
        <v>412</v>
      </c>
      <c r="U73" s="804">
        <v>5649.9836027333176</v>
      </c>
      <c r="V73" s="262">
        <f t="shared" si="17"/>
        <v>4915485.7343779868</v>
      </c>
      <c r="W73" s="805" t="s">
        <v>967</v>
      </c>
      <c r="X73" s="804">
        <v>797.86347094228154</v>
      </c>
      <c r="Y73" s="732">
        <f t="shared" si="15"/>
        <v>694141.21971978492</v>
      </c>
      <c r="Z73" s="805" t="s">
        <v>985</v>
      </c>
      <c r="AA73" s="804">
        <v>122.76858541430251</v>
      </c>
      <c r="AB73" s="732">
        <f t="shared" si="18"/>
        <v>106808.66931044318</v>
      </c>
      <c r="AC73" s="805" t="s">
        <v>1256</v>
      </c>
      <c r="AD73" s="804">
        <v>147.71108071461154</v>
      </c>
      <c r="AE73" s="732">
        <f t="shared" si="19"/>
        <v>128508.64022171203</v>
      </c>
      <c r="AF73" s="805" t="s">
        <v>1257</v>
      </c>
      <c r="AG73" s="804">
        <v>369.62463074679778</v>
      </c>
      <c r="AH73" s="732">
        <f t="shared" si="20"/>
        <v>321573.4287497141</v>
      </c>
      <c r="AI73" s="805" t="s">
        <v>1258</v>
      </c>
      <c r="AJ73" s="804">
        <v>1123.1756228018371</v>
      </c>
      <c r="AK73" s="732">
        <f t="shared" si="21"/>
        <v>977162.79183759831</v>
      </c>
      <c r="BY73"/>
      <c r="BZ73"/>
      <c r="CA73"/>
      <c r="CB73"/>
      <c r="CC73"/>
    </row>
    <row r="74" spans="2:81" ht="14.5">
      <c r="C74" s="244" t="s">
        <v>1192</v>
      </c>
      <c r="D74" s="257">
        <v>0.4</v>
      </c>
      <c r="E74" s="261" t="s">
        <v>1009</v>
      </c>
      <c r="F74" s="251">
        <v>55514.74</v>
      </c>
      <c r="G74" s="262">
        <f t="shared" si="16"/>
        <v>22205896</v>
      </c>
      <c r="H74" s="261" t="s">
        <v>17</v>
      </c>
      <c r="I74" s="253">
        <v>32543</v>
      </c>
      <c r="J74" s="262">
        <f t="shared" si="11"/>
        <v>13017200</v>
      </c>
      <c r="K74" s="261" t="s">
        <v>18</v>
      </c>
      <c r="L74" s="253">
        <v>50320</v>
      </c>
      <c r="M74" s="262">
        <f t="shared" si="12"/>
        <v>20128000</v>
      </c>
      <c r="N74" s="268" t="s">
        <v>19</v>
      </c>
      <c r="O74" s="253">
        <v>34557</v>
      </c>
      <c r="P74" s="262">
        <f t="shared" si="13"/>
        <v>13822800.000000002</v>
      </c>
      <c r="Q74" s="268" t="s">
        <v>20</v>
      </c>
      <c r="R74" s="253">
        <v>50270.320970823566</v>
      </c>
      <c r="S74" s="262">
        <f t="shared" si="14"/>
        <v>20108128.388329428</v>
      </c>
      <c r="T74" s="268" t="s">
        <v>412</v>
      </c>
      <c r="U74" s="804">
        <v>55358.32771415259</v>
      </c>
      <c r="V74" s="262">
        <f t="shared" si="17"/>
        <v>22143331.085661039</v>
      </c>
      <c r="W74" s="805" t="s">
        <v>967</v>
      </c>
      <c r="X74" s="804">
        <v>61955.655529748001</v>
      </c>
      <c r="Y74" s="732">
        <f t="shared" si="15"/>
        <v>24782262.211899199</v>
      </c>
      <c r="Z74" s="805" t="s">
        <v>985</v>
      </c>
      <c r="AA74" s="804">
        <v>65948.035781278755</v>
      </c>
      <c r="AB74" s="732">
        <f t="shared" si="18"/>
        <v>26379214.312511504</v>
      </c>
      <c r="AC74" s="805" t="s">
        <v>1256</v>
      </c>
      <c r="AD74" s="804">
        <v>52169.960776070111</v>
      </c>
      <c r="AE74" s="732">
        <f t="shared" si="19"/>
        <v>20867984.310428046</v>
      </c>
      <c r="AF74" s="805" t="s">
        <v>1257</v>
      </c>
      <c r="AG74" s="804">
        <v>81666.917846271084</v>
      </c>
      <c r="AH74" s="732">
        <f t="shared" si="20"/>
        <v>32666767.138508435</v>
      </c>
      <c r="AI74" s="805" t="s">
        <v>1258</v>
      </c>
      <c r="AJ74" s="804">
        <v>40052.847999289661</v>
      </c>
      <c r="AK74" s="732">
        <f t="shared" si="21"/>
        <v>16021139.199715864</v>
      </c>
      <c r="BY74"/>
      <c r="BZ74"/>
      <c r="CA74"/>
      <c r="CB74"/>
      <c r="CC74"/>
    </row>
    <row r="75" spans="2:81" ht="14.5">
      <c r="C75" s="244" t="s">
        <v>1193</v>
      </c>
      <c r="D75" s="257">
        <v>0.4</v>
      </c>
      <c r="E75" s="261"/>
      <c r="F75" s="251"/>
      <c r="G75" s="262">
        <f t="shared" si="16"/>
        <v>0</v>
      </c>
      <c r="H75" s="261" t="s">
        <v>17</v>
      </c>
      <c r="I75" s="253">
        <v>10626</v>
      </c>
      <c r="J75" s="262">
        <f t="shared" si="11"/>
        <v>4250400.0000000009</v>
      </c>
      <c r="K75" s="261" t="s">
        <v>18</v>
      </c>
      <c r="L75" s="253">
        <v>16458</v>
      </c>
      <c r="M75" s="262">
        <f t="shared" si="12"/>
        <v>6583200.0000000009</v>
      </c>
      <c r="N75" s="268" t="s">
        <v>19</v>
      </c>
      <c r="O75" s="253">
        <v>19168</v>
      </c>
      <c r="P75" s="262">
        <f t="shared" si="13"/>
        <v>7667200.0000000009</v>
      </c>
      <c r="Q75" s="268" t="s">
        <v>20</v>
      </c>
      <c r="R75" s="253">
        <v>22354.112553666298</v>
      </c>
      <c r="S75" s="262">
        <f t="shared" si="14"/>
        <v>8941645.0214665197</v>
      </c>
      <c r="T75" s="268" t="s">
        <v>412</v>
      </c>
      <c r="U75" s="804">
        <v>19700.830833515938</v>
      </c>
      <c r="V75" s="262">
        <f t="shared" si="17"/>
        <v>7880332.3334063757</v>
      </c>
      <c r="W75" s="805" t="s">
        <v>967</v>
      </c>
      <c r="X75" s="804">
        <v>7050.7048990252815</v>
      </c>
      <c r="Y75" s="732">
        <f t="shared" si="15"/>
        <v>2820281.9596101125</v>
      </c>
      <c r="Z75" s="805" t="s">
        <v>985</v>
      </c>
      <c r="AA75" s="804">
        <v>1840.4696256115521</v>
      </c>
      <c r="AB75" s="732">
        <f t="shared" si="18"/>
        <v>736187.85024462093</v>
      </c>
      <c r="AC75" s="805" t="s">
        <v>1256</v>
      </c>
      <c r="AD75" s="804">
        <v>1571.4790680192204</v>
      </c>
      <c r="AE75" s="732">
        <f t="shared" si="19"/>
        <v>628591.62720768829</v>
      </c>
      <c r="AF75" s="805" t="s">
        <v>1257</v>
      </c>
      <c r="AG75" s="804">
        <v>3151.1676502740311</v>
      </c>
      <c r="AH75" s="732">
        <f t="shared" si="20"/>
        <v>1260467.0601096125</v>
      </c>
      <c r="AI75" s="805" t="s">
        <v>1258</v>
      </c>
      <c r="AJ75" s="804">
        <v>4347.1244016152741</v>
      </c>
      <c r="AK75" s="732">
        <f t="shared" si="21"/>
        <v>1738849.7606461097</v>
      </c>
      <c r="BY75"/>
      <c r="BZ75"/>
      <c r="CA75"/>
      <c r="CB75"/>
      <c r="CC75"/>
    </row>
    <row r="76" spans="2:81" ht="14.5">
      <c r="C76" s="244" t="s">
        <v>346</v>
      </c>
      <c r="D76" s="257">
        <v>0.45</v>
      </c>
      <c r="E76" s="261" t="s">
        <v>1009</v>
      </c>
      <c r="F76" s="251">
        <v>473204.54</v>
      </c>
      <c r="G76" s="262">
        <f t="shared" si="16"/>
        <v>212942043</v>
      </c>
      <c r="H76" s="261" t="s">
        <v>17</v>
      </c>
      <c r="I76" s="253">
        <v>237066</v>
      </c>
      <c r="J76" s="262">
        <f t="shared" si="11"/>
        <v>106679700</v>
      </c>
      <c r="K76" s="261" t="s">
        <v>18</v>
      </c>
      <c r="L76" s="253">
        <v>358300</v>
      </c>
      <c r="M76" s="262">
        <f t="shared" si="12"/>
        <v>161235000</v>
      </c>
      <c r="N76" s="268" t="s">
        <v>19</v>
      </c>
      <c r="O76" s="253">
        <v>384235</v>
      </c>
      <c r="P76" s="262">
        <f t="shared" si="13"/>
        <v>172905750</v>
      </c>
      <c r="Q76" s="268" t="s">
        <v>20</v>
      </c>
      <c r="R76" s="253">
        <v>284629.0861320126</v>
      </c>
      <c r="S76" s="262">
        <f t="shared" si="14"/>
        <v>128083088.75940567</v>
      </c>
      <c r="T76" s="268" t="s">
        <v>412</v>
      </c>
      <c r="U76" s="804">
        <v>417178.14319725608</v>
      </c>
      <c r="V76" s="262">
        <f t="shared" si="17"/>
        <v>187730164.43876523</v>
      </c>
      <c r="W76" s="805" t="s">
        <v>967</v>
      </c>
      <c r="X76" s="804">
        <v>418547.12568770739</v>
      </c>
      <c r="Y76" s="732">
        <f t="shared" si="15"/>
        <v>188346206.55946833</v>
      </c>
      <c r="Z76" s="805" t="s">
        <v>985</v>
      </c>
      <c r="AA76" s="804">
        <v>267743.20435576868</v>
      </c>
      <c r="AB76" s="732">
        <f t="shared" si="18"/>
        <v>120484441.96009591</v>
      </c>
      <c r="AC76" s="805" t="s">
        <v>1256</v>
      </c>
      <c r="AD76" s="804">
        <v>407514.29709515406</v>
      </c>
      <c r="AE76" s="732">
        <f t="shared" si="19"/>
        <v>183381433.69281933</v>
      </c>
      <c r="AF76" s="805" t="s">
        <v>1257</v>
      </c>
      <c r="AG76" s="804">
        <v>243328.75036032265</v>
      </c>
      <c r="AH76" s="732">
        <f t="shared" si="20"/>
        <v>109497937.6621452</v>
      </c>
      <c r="AI76" s="805" t="s">
        <v>1258</v>
      </c>
      <c r="AJ76" s="804">
        <v>250626.56380461709</v>
      </c>
      <c r="AK76" s="732">
        <f t="shared" si="21"/>
        <v>112781953.71207769</v>
      </c>
      <c r="BY76"/>
      <c r="BZ76"/>
      <c r="CA76"/>
      <c r="CB76"/>
      <c r="CC76"/>
    </row>
    <row r="77" spans="2:81" ht="14.5">
      <c r="C77" s="244" t="s">
        <v>347</v>
      </c>
      <c r="D77" s="257">
        <v>0.45</v>
      </c>
      <c r="E77" s="261"/>
      <c r="F77" s="251"/>
      <c r="G77" s="262">
        <f t="shared" si="16"/>
        <v>0</v>
      </c>
      <c r="H77" s="261" t="s">
        <v>17</v>
      </c>
      <c r="I77" s="253">
        <v>2649</v>
      </c>
      <c r="J77" s="262">
        <f t="shared" si="11"/>
        <v>1192050</v>
      </c>
      <c r="K77" s="261" t="s">
        <v>18</v>
      </c>
      <c r="L77" s="253">
        <v>2493</v>
      </c>
      <c r="M77" s="262">
        <f t="shared" si="12"/>
        <v>1121850.0000000002</v>
      </c>
      <c r="N77" s="268" t="s">
        <v>19</v>
      </c>
      <c r="O77" s="253">
        <v>2564</v>
      </c>
      <c r="P77" s="262">
        <f t="shared" si="13"/>
        <v>1153800</v>
      </c>
      <c r="Q77" s="268" t="s">
        <v>20</v>
      </c>
      <c r="R77" s="253">
        <v>471.40138144004845</v>
      </c>
      <c r="S77" s="262">
        <f t="shared" si="14"/>
        <v>212130.62164802183</v>
      </c>
      <c r="T77" s="268" t="s">
        <v>412</v>
      </c>
      <c r="U77" s="804">
        <v>3882.6637821222339</v>
      </c>
      <c r="V77" s="262">
        <f t="shared" si="17"/>
        <v>1747198.7019550053</v>
      </c>
      <c r="W77" s="805" t="s">
        <v>967</v>
      </c>
      <c r="X77" s="804">
        <v>4042.3072731935204</v>
      </c>
      <c r="Y77" s="732">
        <f t="shared" si="15"/>
        <v>1819038.2729370843</v>
      </c>
      <c r="Z77" s="805" t="s">
        <v>985</v>
      </c>
      <c r="AA77" s="804">
        <v>1457.4927365748797</v>
      </c>
      <c r="AB77" s="732">
        <f t="shared" si="18"/>
        <v>655871.73145869584</v>
      </c>
      <c r="AC77" s="805" t="s">
        <v>1256</v>
      </c>
      <c r="AD77" s="804">
        <v>799.00239548160539</v>
      </c>
      <c r="AE77" s="732">
        <f t="shared" si="19"/>
        <v>359551.07796672249</v>
      </c>
      <c r="AF77" s="805" t="s">
        <v>1257</v>
      </c>
      <c r="AG77" s="804">
        <v>1419.7911556805773</v>
      </c>
      <c r="AH77" s="732">
        <f t="shared" si="20"/>
        <v>638906.02005625982</v>
      </c>
      <c r="AI77" s="805" t="s">
        <v>1258</v>
      </c>
      <c r="AJ77" s="804">
        <v>806.82904476087322</v>
      </c>
      <c r="AK77" s="732">
        <f t="shared" si="21"/>
        <v>363073.07014239294</v>
      </c>
      <c r="BY77"/>
      <c r="BZ77"/>
      <c r="CA77"/>
      <c r="CB77"/>
      <c r="CC77"/>
    </row>
    <row r="78" spans="2:81" ht="14.5">
      <c r="C78" s="244" t="s">
        <v>348</v>
      </c>
      <c r="D78" s="257">
        <v>0.1</v>
      </c>
      <c r="E78" s="261" t="s">
        <v>1009</v>
      </c>
      <c r="F78" s="251">
        <v>64034.55</v>
      </c>
      <c r="G78" s="262">
        <f t="shared" si="16"/>
        <v>6403455.0000000009</v>
      </c>
      <c r="H78" s="261" t="s">
        <v>17</v>
      </c>
      <c r="I78" s="253">
        <v>60859</v>
      </c>
      <c r="J78" s="262">
        <f t="shared" si="11"/>
        <v>6085900.0000000009</v>
      </c>
      <c r="K78" s="261" t="s">
        <v>18</v>
      </c>
      <c r="L78" s="253">
        <v>60030</v>
      </c>
      <c r="M78" s="262">
        <f t="shared" si="12"/>
        <v>6003000</v>
      </c>
      <c r="N78" s="268" t="s">
        <v>19</v>
      </c>
      <c r="O78" s="253">
        <v>53369</v>
      </c>
      <c r="P78" s="262">
        <f t="shared" si="13"/>
        <v>5336900.0000000009</v>
      </c>
      <c r="Q78" s="268" t="s">
        <v>20</v>
      </c>
      <c r="R78" s="253">
        <v>62716.34464121909</v>
      </c>
      <c r="S78" s="262">
        <f t="shared" si="14"/>
        <v>6271634.4641219089</v>
      </c>
      <c r="T78" s="268" t="s">
        <v>412</v>
      </c>
      <c r="U78" s="804">
        <v>67718.07842107059</v>
      </c>
      <c r="V78" s="262">
        <f t="shared" si="17"/>
        <v>6771807.8421070594</v>
      </c>
      <c r="W78" s="805" t="s">
        <v>967</v>
      </c>
      <c r="X78" s="804">
        <v>55334.815026167467</v>
      </c>
      <c r="Y78" s="732">
        <f t="shared" si="15"/>
        <v>5533481.5026167473</v>
      </c>
      <c r="Z78" s="805" t="s">
        <v>985</v>
      </c>
      <c r="AA78" s="804">
        <v>31461.99082179771</v>
      </c>
      <c r="AB78" s="732">
        <f t="shared" si="18"/>
        <v>3146199.0821797713</v>
      </c>
      <c r="AC78" s="805" t="s">
        <v>1256</v>
      </c>
      <c r="AD78" s="804">
        <v>38438.380859154036</v>
      </c>
      <c r="AE78" s="732">
        <f t="shared" si="19"/>
        <v>3843838.0859154039</v>
      </c>
      <c r="AF78" s="805" t="s">
        <v>1257</v>
      </c>
      <c r="AG78" s="804">
        <v>55277.204081601667</v>
      </c>
      <c r="AH78" s="732">
        <f t="shared" si="20"/>
        <v>5527720.4081601668</v>
      </c>
      <c r="AI78" s="805" t="s">
        <v>1258</v>
      </c>
      <c r="AJ78" s="804">
        <v>52228.948962207229</v>
      </c>
      <c r="AK78" s="732">
        <f t="shared" si="21"/>
        <v>5222894.8962207232</v>
      </c>
      <c r="BY78"/>
      <c r="BZ78"/>
      <c r="CA78"/>
      <c r="CB78"/>
      <c r="CC78"/>
    </row>
    <row r="79" spans="2:81" ht="14.5">
      <c r="C79" s="244" t="s">
        <v>349</v>
      </c>
      <c r="D79" s="257">
        <v>0.1</v>
      </c>
      <c r="E79" s="261"/>
      <c r="F79" s="251"/>
      <c r="G79" s="262">
        <f t="shared" si="16"/>
        <v>0</v>
      </c>
      <c r="H79" s="261" t="s">
        <v>17</v>
      </c>
      <c r="I79" s="253">
        <v>567</v>
      </c>
      <c r="J79" s="262">
        <f t="shared" si="11"/>
        <v>56700</v>
      </c>
      <c r="K79" s="261" t="s">
        <v>18</v>
      </c>
      <c r="L79" s="253">
        <v>1899</v>
      </c>
      <c r="M79" s="262">
        <f t="shared" si="12"/>
        <v>189900</v>
      </c>
      <c r="N79" s="268" t="s">
        <v>19</v>
      </c>
      <c r="O79" s="253">
        <v>149</v>
      </c>
      <c r="P79" s="262">
        <f t="shared" si="13"/>
        <v>14900</v>
      </c>
      <c r="Q79" s="268" t="s">
        <v>20</v>
      </c>
      <c r="R79" s="253">
        <v>239.53365184588367</v>
      </c>
      <c r="S79" s="262">
        <f t="shared" si="14"/>
        <v>23953.365184588369</v>
      </c>
      <c r="T79" s="268" t="s">
        <v>412</v>
      </c>
      <c r="U79" s="804">
        <v>4112.4782583884935</v>
      </c>
      <c r="V79" s="262">
        <f t="shared" si="17"/>
        <v>411247.82583884941</v>
      </c>
      <c r="W79" s="805" t="s">
        <v>967</v>
      </c>
      <c r="X79" s="804">
        <v>215.59592549442596</v>
      </c>
      <c r="Y79" s="732">
        <f t="shared" si="15"/>
        <v>21559.592549442597</v>
      </c>
      <c r="Z79" s="805" t="s">
        <v>985</v>
      </c>
      <c r="AA79" s="804">
        <v>429.50392553850867</v>
      </c>
      <c r="AB79" s="732">
        <f t="shared" si="18"/>
        <v>42950.39255385087</v>
      </c>
      <c r="AC79" s="805" t="s">
        <v>1256</v>
      </c>
      <c r="AD79" s="804"/>
      <c r="AE79" s="732">
        <f t="shared" si="19"/>
        <v>0</v>
      </c>
      <c r="AF79" s="805" t="s">
        <v>1257</v>
      </c>
      <c r="AG79" s="804"/>
      <c r="AH79" s="732">
        <f t="shared" si="20"/>
        <v>0</v>
      </c>
      <c r="AI79" s="805" t="s">
        <v>1258</v>
      </c>
      <c r="AJ79" s="804"/>
      <c r="AK79" s="732">
        <f t="shared" si="21"/>
        <v>0</v>
      </c>
      <c r="BY79"/>
      <c r="BZ79"/>
      <c r="CA79"/>
      <c r="CB79"/>
      <c r="CC79"/>
    </row>
    <row r="80" spans="2:81" ht="14.5">
      <c r="C80" s="244" t="s">
        <v>350</v>
      </c>
      <c r="D80" s="257">
        <v>0.83</v>
      </c>
      <c r="E80" s="261" t="s">
        <v>1009</v>
      </c>
      <c r="F80" s="251">
        <v>19762.86</v>
      </c>
      <c r="G80" s="262">
        <f t="shared" si="16"/>
        <v>16403173.800000001</v>
      </c>
      <c r="H80" s="261" t="s">
        <v>17</v>
      </c>
      <c r="I80" s="253">
        <v>12822</v>
      </c>
      <c r="J80" s="262">
        <f t="shared" si="11"/>
        <v>10642260</v>
      </c>
      <c r="K80" s="261" t="s">
        <v>18</v>
      </c>
      <c r="L80" s="253">
        <v>7577</v>
      </c>
      <c r="M80" s="262">
        <f t="shared" si="12"/>
        <v>6288910</v>
      </c>
      <c r="N80" s="268" t="s">
        <v>19</v>
      </c>
      <c r="O80" s="253">
        <v>7605</v>
      </c>
      <c r="P80" s="262">
        <f t="shared" si="13"/>
        <v>6312150</v>
      </c>
      <c r="Q80" s="268" t="s">
        <v>20</v>
      </c>
      <c r="R80" s="253">
        <v>7450</v>
      </c>
      <c r="S80" s="262">
        <f t="shared" si="14"/>
        <v>6183500</v>
      </c>
      <c r="T80" s="268" t="s">
        <v>412</v>
      </c>
      <c r="U80" s="804">
        <v>6814.2370172672854</v>
      </c>
      <c r="V80" s="262">
        <f t="shared" si="17"/>
        <v>5655816.7243318465</v>
      </c>
      <c r="W80" s="805" t="s">
        <v>967</v>
      </c>
      <c r="X80" s="804">
        <v>6745.7733024470172</v>
      </c>
      <c r="Y80" s="732">
        <f t="shared" si="15"/>
        <v>5598991.8410310242</v>
      </c>
      <c r="Z80" s="805" t="s">
        <v>985</v>
      </c>
      <c r="AA80" s="804">
        <v>5397.7720778404291</v>
      </c>
      <c r="AB80" s="732">
        <f t="shared" si="18"/>
        <v>4480150.8246075567</v>
      </c>
      <c r="AC80" s="805" t="s">
        <v>1256</v>
      </c>
      <c r="AD80" s="804">
        <v>14646.734982666992</v>
      </c>
      <c r="AE80" s="732">
        <f t="shared" si="19"/>
        <v>12156790.035613604</v>
      </c>
      <c r="AF80" s="805" t="s">
        <v>1257</v>
      </c>
      <c r="AG80" s="804">
        <v>10898.383684924247</v>
      </c>
      <c r="AH80" s="732">
        <f t="shared" si="20"/>
        <v>9045658.4584871251</v>
      </c>
      <c r="AI80" s="805" t="s">
        <v>1258</v>
      </c>
      <c r="AJ80" s="804">
        <v>7431.193201537626</v>
      </c>
      <c r="AK80" s="732">
        <f t="shared" si="21"/>
        <v>6167890.3572762292</v>
      </c>
      <c r="BY80"/>
      <c r="BZ80"/>
      <c r="CA80"/>
      <c r="CB80"/>
      <c r="CC80"/>
    </row>
    <row r="81" spans="3:81" ht="14.5">
      <c r="C81" s="244" t="s">
        <v>351</v>
      </c>
      <c r="D81" s="257">
        <v>0.83</v>
      </c>
      <c r="E81" s="261"/>
      <c r="F81" s="251"/>
      <c r="G81" s="262">
        <f t="shared" si="16"/>
        <v>0</v>
      </c>
      <c r="H81" s="261" t="s">
        <v>17</v>
      </c>
      <c r="I81" s="253">
        <v>136</v>
      </c>
      <c r="J81" s="262">
        <f t="shared" si="11"/>
        <v>112880</v>
      </c>
      <c r="K81" s="261" t="s">
        <v>18</v>
      </c>
      <c r="L81" s="253">
        <v>0</v>
      </c>
      <c r="M81" s="262">
        <f t="shared" si="12"/>
        <v>0</v>
      </c>
      <c r="N81" s="268" t="s">
        <v>19</v>
      </c>
      <c r="O81" s="253">
        <v>0</v>
      </c>
      <c r="P81" s="262">
        <f t="shared" si="13"/>
        <v>0</v>
      </c>
      <c r="Q81" s="268" t="s">
        <v>20</v>
      </c>
      <c r="R81" s="253"/>
      <c r="S81" s="262"/>
      <c r="T81" s="268" t="s">
        <v>412</v>
      </c>
      <c r="U81" s="804"/>
      <c r="V81" s="262"/>
      <c r="W81" s="805" t="s">
        <v>967</v>
      </c>
      <c r="X81" s="804"/>
      <c r="Y81" s="732"/>
      <c r="Z81" s="805" t="s">
        <v>985</v>
      </c>
      <c r="AA81" s="804"/>
      <c r="AB81" s="732">
        <f t="shared" si="18"/>
        <v>0</v>
      </c>
      <c r="AC81" s="805" t="s">
        <v>1256</v>
      </c>
      <c r="AD81" s="804"/>
      <c r="AE81" s="732">
        <f t="shared" si="19"/>
        <v>0</v>
      </c>
      <c r="AF81" s="805" t="s">
        <v>1257</v>
      </c>
      <c r="AG81" s="804"/>
      <c r="AH81" s="732">
        <f t="shared" si="20"/>
        <v>0</v>
      </c>
      <c r="AI81" s="805" t="s">
        <v>1258</v>
      </c>
      <c r="AJ81" s="804"/>
      <c r="AK81" s="732">
        <f t="shared" si="21"/>
        <v>0</v>
      </c>
      <c r="BY81"/>
      <c r="BZ81"/>
      <c r="CA81"/>
      <c r="CB81"/>
      <c r="CC81"/>
    </row>
    <row r="82" spans="3:81" ht="14.5">
      <c r="C82" s="244" t="s">
        <v>352</v>
      </c>
      <c r="D82" s="257">
        <v>0.37</v>
      </c>
      <c r="E82" s="261" t="s">
        <v>1009</v>
      </c>
      <c r="F82" s="251">
        <v>75682.83</v>
      </c>
      <c r="G82" s="262">
        <f t="shared" si="16"/>
        <v>28002647.100000001</v>
      </c>
      <c r="H82" s="261" t="s">
        <v>17</v>
      </c>
      <c r="I82" s="253">
        <v>66844</v>
      </c>
      <c r="J82" s="262">
        <f t="shared" si="11"/>
        <v>24732280</v>
      </c>
      <c r="K82" s="261" t="s">
        <v>18</v>
      </c>
      <c r="L82" s="253">
        <v>53704</v>
      </c>
      <c r="M82" s="262">
        <f t="shared" si="12"/>
        <v>19870480</v>
      </c>
      <c r="N82" s="268" t="s">
        <v>19</v>
      </c>
      <c r="O82" s="253">
        <v>46976</v>
      </c>
      <c r="P82" s="262">
        <f t="shared" si="13"/>
        <v>17381120</v>
      </c>
      <c r="Q82" s="268" t="s">
        <v>20</v>
      </c>
      <c r="R82" s="253">
        <v>52696.837189816302</v>
      </c>
      <c r="S82" s="262">
        <f t="shared" si="14"/>
        <v>19497829.760232031</v>
      </c>
      <c r="T82" s="268" t="s">
        <v>412</v>
      </c>
      <c r="U82" s="804">
        <v>91573.780372897178</v>
      </c>
      <c r="V82" s="262">
        <f t="shared" si="17"/>
        <v>33882298.737971954</v>
      </c>
      <c r="W82" s="805" t="s">
        <v>967</v>
      </c>
      <c r="X82" s="804">
        <v>64899.34863066642</v>
      </c>
      <c r="Y82" s="732">
        <f t="shared" si="15"/>
        <v>24012758.993346576</v>
      </c>
      <c r="Z82" s="805" t="s">
        <v>985</v>
      </c>
      <c r="AA82" s="804">
        <v>71518.872676583676</v>
      </c>
      <c r="AB82" s="732">
        <f t="shared" si="18"/>
        <v>26461982.890335958</v>
      </c>
      <c r="AC82" s="805" t="s">
        <v>1256</v>
      </c>
      <c r="AD82" s="804">
        <v>60909.759069999207</v>
      </c>
      <c r="AE82" s="732">
        <f t="shared" si="19"/>
        <v>22536610.855899706</v>
      </c>
      <c r="AF82" s="805" t="s">
        <v>1257</v>
      </c>
      <c r="AG82" s="804">
        <v>84223.964895397643</v>
      </c>
      <c r="AH82" s="732">
        <f t="shared" si="20"/>
        <v>31162867.011297125</v>
      </c>
      <c r="AI82" s="805" t="s">
        <v>1258</v>
      </c>
      <c r="AJ82" s="804">
        <v>141133.45426148985</v>
      </c>
      <c r="AK82" s="732">
        <f t="shared" si="21"/>
        <v>52219378.076751247</v>
      </c>
      <c r="BY82"/>
      <c r="BZ82"/>
      <c r="CA82"/>
      <c r="CB82"/>
      <c r="CC82"/>
    </row>
    <row r="83" spans="3:81" ht="15" thickBot="1">
      <c r="C83" s="244" t="s">
        <v>353</v>
      </c>
      <c r="D83" s="257">
        <v>0.37</v>
      </c>
      <c r="E83" s="261"/>
      <c r="F83" s="251"/>
      <c r="G83" s="262">
        <f t="shared" si="16"/>
        <v>0</v>
      </c>
      <c r="H83" s="261" t="s">
        <v>17</v>
      </c>
      <c r="I83" s="253">
        <v>18127</v>
      </c>
      <c r="J83" s="262">
        <f t="shared" si="11"/>
        <v>6706990</v>
      </c>
      <c r="K83" s="261" t="s">
        <v>18</v>
      </c>
      <c r="L83" s="253">
        <v>15693</v>
      </c>
      <c r="M83" s="262">
        <f t="shared" si="12"/>
        <v>5806410</v>
      </c>
      <c r="N83" s="269" t="s">
        <v>19</v>
      </c>
      <c r="O83" s="253">
        <v>6881</v>
      </c>
      <c r="P83" s="262">
        <f t="shared" si="13"/>
        <v>2545970</v>
      </c>
      <c r="Q83" s="269" t="s">
        <v>20</v>
      </c>
      <c r="R83" s="253">
        <v>18248.325745727772</v>
      </c>
      <c r="S83" s="262">
        <f t="shared" si="14"/>
        <v>6751880.5259192763</v>
      </c>
      <c r="T83" s="269" t="s">
        <v>412</v>
      </c>
      <c r="U83" s="804">
        <v>19719.792642402543</v>
      </c>
      <c r="V83" s="262">
        <f t="shared" si="17"/>
        <v>7296323.277688941</v>
      </c>
      <c r="W83" s="805" t="s">
        <v>967</v>
      </c>
      <c r="X83" s="804">
        <v>25827.059645731057</v>
      </c>
      <c r="Y83" s="732">
        <f t="shared" si="15"/>
        <v>9556012.0689204913</v>
      </c>
      <c r="Z83" s="805" t="s">
        <v>985</v>
      </c>
      <c r="AA83" s="804">
        <v>5373.6121311436309</v>
      </c>
      <c r="AB83" s="732">
        <f t="shared" si="18"/>
        <v>1988236.4885231433</v>
      </c>
      <c r="AC83" s="805" t="s">
        <v>1256</v>
      </c>
      <c r="AD83" s="804">
        <v>3363.2386241839718</v>
      </c>
      <c r="AE83" s="732">
        <f t="shared" si="19"/>
        <v>1244398.2909480697</v>
      </c>
      <c r="AF83" s="805" t="s">
        <v>1257</v>
      </c>
      <c r="AG83" s="804">
        <v>11986.530293175045</v>
      </c>
      <c r="AH83" s="732">
        <f t="shared" si="20"/>
        <v>4435016.2084747665</v>
      </c>
      <c r="AI83" s="805" t="s">
        <v>1258</v>
      </c>
      <c r="AJ83" s="804">
        <v>5166.3209315515987</v>
      </c>
      <c r="AK83" s="732">
        <f t="shared" si="21"/>
        <v>1911538.7446740915</v>
      </c>
      <c r="BY83"/>
      <c r="BZ83"/>
      <c r="CA83"/>
      <c r="CB83"/>
      <c r="CC83"/>
    </row>
    <row r="84" spans="3:81" ht="15" thickBot="1">
      <c r="C84" s="236" t="s">
        <v>15</v>
      </c>
      <c r="D84" s="258"/>
      <c r="E84" s="263"/>
      <c r="F84" s="264">
        <f>SUM(F64:F83)</f>
        <v>2567789.6999999997</v>
      </c>
      <c r="G84" s="265">
        <f>SUM(G64:G83)</f>
        <v>1868312600.6999998</v>
      </c>
      <c r="H84" s="266"/>
      <c r="I84" s="267">
        <f>SUM(I64:I83)</f>
        <v>2306800</v>
      </c>
      <c r="J84" s="265">
        <f>SUM(J64:J83)</f>
        <v>1742287930</v>
      </c>
      <c r="K84" s="266"/>
      <c r="L84" s="267">
        <f>SUM(L64:L83)</f>
        <v>2859413</v>
      </c>
      <c r="M84" s="265">
        <f>SUM(M64:M83)</f>
        <v>2144817720</v>
      </c>
      <c r="N84" s="266"/>
      <c r="O84" s="267">
        <f>SUM(O64:O83)</f>
        <v>3210801</v>
      </c>
      <c r="P84" s="265">
        <f>SUM(P64:P83)</f>
        <v>2456597350</v>
      </c>
      <c r="Q84" s="266"/>
      <c r="R84" s="267">
        <f>SUM(R64:R83)</f>
        <v>3332480.8223073729</v>
      </c>
      <c r="S84" s="265">
        <f>SUM(S64:S83)</f>
        <v>2584852377.7539916</v>
      </c>
      <c r="T84" s="266"/>
      <c r="U84" s="267">
        <f>SUM(U64:U83)</f>
        <v>3673146.6267235745</v>
      </c>
      <c r="V84" s="265">
        <f>SUM(V64:V83)</f>
        <v>2799250061.4461317</v>
      </c>
      <c r="W84" s="806"/>
      <c r="X84" s="267">
        <f>SUM(X64:X83)</f>
        <v>3334638.1401154301</v>
      </c>
      <c r="Y84" s="265">
        <f>SUM(Y64:Y83)</f>
        <v>2526191992.9421229</v>
      </c>
      <c r="Z84" s="806"/>
      <c r="AA84" s="267">
        <f>SUM(AA64:AA83)</f>
        <v>3196414.5631645513</v>
      </c>
      <c r="AB84" s="265">
        <f>SUM(AB64:AB83)</f>
        <v>2494755816.0934949</v>
      </c>
      <c r="AC84" s="806"/>
      <c r="AD84" s="267">
        <f>SUM(AD64:AD83)</f>
        <v>3339559.6462637037</v>
      </c>
      <c r="AE84" s="265">
        <f>SUM(AE64:AE83)</f>
        <v>2550683285.7396393</v>
      </c>
      <c r="AF84" s="806"/>
      <c r="AG84" s="267">
        <f>SUM(AG64:AG83)</f>
        <v>3775434.2482420849</v>
      </c>
      <c r="AH84" s="265">
        <f>SUM(AH64:AH83)</f>
        <v>2969986245.3321872</v>
      </c>
      <c r="AI84" s="806"/>
      <c r="AJ84" s="267">
        <f>SUM(AJ64:AJ83)</f>
        <v>3766216.7046626639</v>
      </c>
      <c r="AK84" s="265">
        <f>SUM(AK64:AK83)</f>
        <v>2955035758.526998</v>
      </c>
    </row>
    <row r="85" spans="3:81">
      <c r="C85"/>
      <c r="D85"/>
      <c r="E85"/>
      <c r="F85"/>
      <c r="G85"/>
      <c r="H85"/>
      <c r="I85"/>
      <c r="J85"/>
      <c r="K85"/>
      <c r="L85"/>
      <c r="M85"/>
      <c r="N85"/>
      <c r="O85"/>
      <c r="P85"/>
      <c r="Q85"/>
      <c r="R85"/>
      <c r="S85"/>
      <c r="T85"/>
      <c r="U85"/>
      <c r="V85"/>
      <c r="W85"/>
      <c r="X85"/>
      <c r="Y85"/>
      <c r="Z85"/>
      <c r="AA85"/>
      <c r="AB85"/>
    </row>
    <row r="86" spans="3:81" ht="21">
      <c r="C86" s="2543" t="s">
        <v>0</v>
      </c>
      <c r="D86" s="2543"/>
      <c r="E86" s="2578" t="s">
        <v>354</v>
      </c>
      <c r="F86" s="2578"/>
      <c r="G86" s="2578"/>
      <c r="H86" s="2578"/>
      <c r="I86" s="2578"/>
      <c r="J86" s="2578"/>
      <c r="K86" s="2578"/>
      <c r="L86" s="2578"/>
      <c r="M86" s="2578"/>
      <c r="N86" s="2578"/>
      <c r="O86" s="2578"/>
      <c r="P86" s="2578"/>
      <c r="Q86" s="2578"/>
      <c r="R86" s="2578"/>
      <c r="S86" s="2578"/>
      <c r="T86" s="2578"/>
      <c r="U86" s="2578"/>
      <c r="V86" s="2578"/>
      <c r="W86" s="2578"/>
      <c r="X86" s="2578"/>
      <c r="Y86" s="2578"/>
      <c r="Z86" s="2578"/>
      <c r="AA86" s="2578"/>
      <c r="AB86" s="2578"/>
    </row>
    <row r="87" spans="3:81" ht="14.5">
      <c r="C87" s="2543" t="s">
        <v>698</v>
      </c>
      <c r="D87" s="2584" t="s">
        <v>331</v>
      </c>
      <c r="E87" s="2543">
        <v>1994</v>
      </c>
      <c r="F87" s="2543"/>
      <c r="G87" s="2543"/>
      <c r="H87" s="2543"/>
      <c r="I87" s="2543">
        <v>2000</v>
      </c>
      <c r="J87" s="2543"/>
      <c r="K87" s="2543"/>
      <c r="L87" s="2543"/>
      <c r="M87" s="2543">
        <v>2006</v>
      </c>
      <c r="N87" s="2543"/>
      <c r="O87" s="2543"/>
      <c r="P87" s="2543"/>
      <c r="Q87" s="2543">
        <v>2010</v>
      </c>
      <c r="R87" s="2543"/>
      <c r="S87" s="2543"/>
      <c r="T87" s="2543"/>
      <c r="U87" s="2543">
        <v>2012</v>
      </c>
      <c r="V87" s="2543"/>
      <c r="W87" s="2543"/>
      <c r="X87" s="2543"/>
      <c r="Y87" s="2544">
        <v>2014</v>
      </c>
      <c r="Z87" s="2545"/>
      <c r="AA87" s="2546"/>
      <c r="AB87" s="2544">
        <v>2016</v>
      </c>
      <c r="AC87" s="2545"/>
      <c r="AD87" s="2546"/>
      <c r="AE87" s="2544">
        <v>2018</v>
      </c>
      <c r="AF87" s="2545"/>
      <c r="AG87" s="2546"/>
      <c r="AH87" s="2544">
        <v>2020</v>
      </c>
      <c r="AI87" s="2545"/>
      <c r="AJ87" s="2546"/>
      <c r="AK87" s="2544">
        <v>2021</v>
      </c>
      <c r="AL87" s="2545"/>
      <c r="AM87" s="2546"/>
      <c r="AN87" s="2544">
        <v>2022</v>
      </c>
      <c r="AO87" s="2545"/>
      <c r="AP87" s="2546"/>
    </row>
    <row r="88" spans="3:81" ht="72.5">
      <c r="C88" s="2543"/>
      <c r="D88" s="2584"/>
      <c r="E88" s="254" t="s">
        <v>3</v>
      </c>
      <c r="F88" s="234" t="s">
        <v>332</v>
      </c>
      <c r="G88" s="254" t="s">
        <v>333</v>
      </c>
      <c r="H88" s="254" t="s">
        <v>403</v>
      </c>
      <c r="I88" s="254" t="s">
        <v>3</v>
      </c>
      <c r="J88" s="234" t="s">
        <v>332</v>
      </c>
      <c r="K88" s="254" t="s">
        <v>355</v>
      </c>
      <c r="L88" s="254" t="s">
        <v>403</v>
      </c>
      <c r="M88" s="254" t="s">
        <v>3</v>
      </c>
      <c r="N88" s="234" t="s">
        <v>332</v>
      </c>
      <c r="O88" s="254" t="s">
        <v>356</v>
      </c>
      <c r="P88" s="254" t="s">
        <v>403</v>
      </c>
      <c r="Q88" s="254" t="s">
        <v>3</v>
      </c>
      <c r="R88" s="234" t="s">
        <v>332</v>
      </c>
      <c r="S88" s="254" t="s">
        <v>357</v>
      </c>
      <c r="T88" s="254" t="s">
        <v>403</v>
      </c>
      <c r="U88" s="254" t="s">
        <v>3</v>
      </c>
      <c r="V88" s="234" t="s">
        <v>332</v>
      </c>
      <c r="W88" s="254" t="s">
        <v>358</v>
      </c>
      <c r="X88" s="254" t="s">
        <v>403</v>
      </c>
      <c r="Y88" s="254" t="s">
        <v>3</v>
      </c>
      <c r="Z88" s="234" t="s">
        <v>332</v>
      </c>
      <c r="AA88" s="254" t="s">
        <v>359</v>
      </c>
      <c r="AB88" s="254" t="s">
        <v>3</v>
      </c>
      <c r="AC88" s="234" t="s">
        <v>332</v>
      </c>
      <c r="AD88" s="254" t="s">
        <v>359</v>
      </c>
      <c r="AE88" s="809" t="s">
        <v>3</v>
      </c>
      <c r="AF88" s="234" t="s">
        <v>332</v>
      </c>
      <c r="AG88" s="254" t="s">
        <v>359</v>
      </c>
      <c r="AH88" s="254" t="s">
        <v>3</v>
      </c>
      <c r="AI88" s="234" t="s">
        <v>332</v>
      </c>
      <c r="AJ88" s="254" t="s">
        <v>359</v>
      </c>
      <c r="AK88" s="254" t="s">
        <v>3</v>
      </c>
      <c r="AL88" s="234" t="s">
        <v>332</v>
      </c>
      <c r="AM88" s="254" t="s">
        <v>359</v>
      </c>
      <c r="AN88" s="254" t="s">
        <v>3</v>
      </c>
      <c r="AO88" s="234" t="s">
        <v>332</v>
      </c>
      <c r="AP88" s="254" t="s">
        <v>359</v>
      </c>
      <c r="CC88"/>
    </row>
    <row r="89" spans="3:81" ht="14.5">
      <c r="C89" s="247" t="s">
        <v>360</v>
      </c>
      <c r="D89" s="221">
        <v>0.83</v>
      </c>
      <c r="E89" s="219" t="s">
        <v>1009</v>
      </c>
      <c r="F89" s="251">
        <v>3020.77</v>
      </c>
      <c r="G89" s="222">
        <f t="shared" ref="G89:G100" si="22">D89*F89*1000</f>
        <v>2507239.0999999996</v>
      </c>
      <c r="H89" s="222">
        <v>150434.34599999996</v>
      </c>
      <c r="I89" s="219" t="s">
        <v>17</v>
      </c>
      <c r="J89" s="251">
        <v>1683</v>
      </c>
      <c r="K89" s="222">
        <f t="shared" ref="K89:K100" si="23">D89*J89*1000</f>
        <v>1396889.9999999998</v>
      </c>
      <c r="L89" s="222">
        <v>83813.39999999998</v>
      </c>
      <c r="M89" s="219" t="s">
        <v>18</v>
      </c>
      <c r="N89" s="251">
        <v>1668</v>
      </c>
      <c r="O89" s="222">
        <f t="shared" ref="O89:O100" si="24">D89*N89*1000</f>
        <v>1384439.9999999998</v>
      </c>
      <c r="P89" s="223">
        <v>83066.39999999998</v>
      </c>
      <c r="Q89" s="219" t="s">
        <v>19</v>
      </c>
      <c r="R89" s="251">
        <v>1026</v>
      </c>
      <c r="S89" s="222">
        <f t="shared" ref="S89:S100" si="25">D89*R89*1000</f>
        <v>851579.99999999988</v>
      </c>
      <c r="T89" s="223">
        <v>51094.799999999988</v>
      </c>
      <c r="U89" s="219" t="s">
        <v>20</v>
      </c>
      <c r="V89" s="251">
        <v>365.892917720637</v>
      </c>
      <c r="W89" s="222">
        <f t="shared" ref="W89:W100" si="26">D89*V89*1000</f>
        <v>303691.12170812872</v>
      </c>
      <c r="X89" s="223">
        <v>18221.467302487723</v>
      </c>
      <c r="Y89" s="268" t="s">
        <v>412</v>
      </c>
      <c r="Z89" s="811">
        <v>890</v>
      </c>
      <c r="AA89" s="224">
        <f>D89*Z89*1000</f>
        <v>738699.99999999988</v>
      </c>
      <c r="AB89" s="805" t="s">
        <v>967</v>
      </c>
      <c r="AC89" s="811">
        <v>824.82937412095032</v>
      </c>
      <c r="AD89" s="222">
        <f>D89*AC89*1000</f>
        <v>684608.38052038883</v>
      </c>
      <c r="AE89" s="810" t="s">
        <v>985</v>
      </c>
      <c r="AF89" s="811">
        <v>509.888688893449</v>
      </c>
      <c r="AG89" s="222">
        <f>D89*AF89*1000</f>
        <v>423207.61178156268</v>
      </c>
      <c r="AH89" s="805" t="s">
        <v>1256</v>
      </c>
      <c r="AI89" s="811">
        <v>836.65413192890651</v>
      </c>
      <c r="AJ89" s="222">
        <f>$D89*AI89*1000</f>
        <v>694422.92950099241</v>
      </c>
      <c r="AK89" s="805" t="s">
        <v>1257</v>
      </c>
      <c r="AL89" s="811">
        <v>415.41526191804815</v>
      </c>
      <c r="AM89" s="222">
        <f>$D89*AL89*1000</f>
        <v>344794.66739197995</v>
      </c>
      <c r="AN89" s="805" t="s">
        <v>1258</v>
      </c>
      <c r="AO89" s="811">
        <v>772.04924947628251</v>
      </c>
      <c r="AP89" s="222">
        <f>$D89*AO89*1000</f>
        <v>640800.87706531445</v>
      </c>
      <c r="CC89"/>
    </row>
    <row r="90" spans="3:81" ht="14.5">
      <c r="C90" s="247" t="s">
        <v>361</v>
      </c>
      <c r="D90" s="221">
        <v>0.83</v>
      </c>
      <c r="E90" s="219" t="s">
        <v>1009</v>
      </c>
      <c r="F90" s="251"/>
      <c r="G90" s="222">
        <f t="shared" si="22"/>
        <v>0</v>
      </c>
      <c r="H90" s="222">
        <v>0</v>
      </c>
      <c r="I90" s="219" t="s">
        <v>17</v>
      </c>
      <c r="J90" s="251">
        <v>128</v>
      </c>
      <c r="K90" s="222">
        <f t="shared" si="23"/>
        <v>106240</v>
      </c>
      <c r="L90" s="222">
        <v>3187.2</v>
      </c>
      <c r="M90" s="219" t="s">
        <v>18</v>
      </c>
      <c r="N90" s="251">
        <v>63</v>
      </c>
      <c r="O90" s="222">
        <f t="shared" si="24"/>
        <v>52290</v>
      </c>
      <c r="P90" s="223">
        <v>3137.4</v>
      </c>
      <c r="Q90" s="219" t="s">
        <v>19</v>
      </c>
      <c r="R90" s="251">
        <v>263</v>
      </c>
      <c r="S90" s="222">
        <f t="shared" si="25"/>
        <v>218290</v>
      </c>
      <c r="T90" s="223">
        <v>13097.4</v>
      </c>
      <c r="U90" s="219" t="s">
        <v>20</v>
      </c>
      <c r="V90" s="251">
        <v>142.76692786071001</v>
      </c>
      <c r="W90" s="222">
        <f t="shared" si="26"/>
        <v>118496.55012438931</v>
      </c>
      <c r="X90" s="223">
        <v>7109.7930074633587</v>
      </c>
      <c r="Y90" s="268" t="s">
        <v>412</v>
      </c>
      <c r="Z90" s="811"/>
      <c r="AA90" s="224">
        <f t="shared" ref="AA90:AA100" si="27">D90*Z90*1000</f>
        <v>0</v>
      </c>
      <c r="AB90" s="805" t="s">
        <v>967</v>
      </c>
      <c r="AC90" s="811">
        <v>211.17807829360046</v>
      </c>
      <c r="AD90" s="222">
        <f t="shared" ref="AD90:AD100" si="28">D90*AC90*1000</f>
        <v>175277.80498368837</v>
      </c>
      <c r="AE90" s="810" t="s">
        <v>985</v>
      </c>
      <c r="AF90" s="811">
        <v>82.145716939187295</v>
      </c>
      <c r="AG90" s="222">
        <f t="shared" ref="AG90:AG100" si="29">D90*AF90*1000</f>
        <v>68180.94505952546</v>
      </c>
      <c r="AH90" s="805" t="s">
        <v>1256</v>
      </c>
      <c r="AI90" s="811">
        <v>44.319172397618082</v>
      </c>
      <c r="AJ90" s="222">
        <f t="shared" ref="AJ90:AJ100" si="30">$D90*AI90*1000</f>
        <v>36784.913090023001</v>
      </c>
      <c r="AK90" s="805" t="s">
        <v>1257</v>
      </c>
      <c r="AL90" s="811">
        <v>8.150441830184576</v>
      </c>
      <c r="AM90" s="222">
        <f t="shared" ref="AM90:AM100" si="31">$D90*AL90*1000</f>
        <v>6764.8667190531978</v>
      </c>
      <c r="AN90" s="805" t="s">
        <v>1258</v>
      </c>
      <c r="AO90" s="811">
        <v>15.372904834167544</v>
      </c>
      <c r="AP90" s="222">
        <f t="shared" ref="AP90:AP100" si="32">$D90*AO90*1000</f>
        <v>12759.51101235906</v>
      </c>
      <c r="CC90"/>
    </row>
    <row r="91" spans="3:81" ht="14.5">
      <c r="C91" s="247" t="s">
        <v>362</v>
      </c>
      <c r="D91" s="221">
        <v>0.4</v>
      </c>
      <c r="E91" s="219" t="s">
        <v>1009</v>
      </c>
      <c r="F91" s="251">
        <v>12897.73</v>
      </c>
      <c r="G91" s="222">
        <f t="shared" si="22"/>
        <v>5159092.0000000009</v>
      </c>
      <c r="H91" s="222">
        <v>309545.52</v>
      </c>
      <c r="I91" s="219" t="s">
        <v>17</v>
      </c>
      <c r="J91" s="251">
        <v>5991</v>
      </c>
      <c r="K91" s="222">
        <f t="shared" si="23"/>
        <v>2396400</v>
      </c>
      <c r="L91" s="222">
        <v>71892</v>
      </c>
      <c r="M91" s="219" t="s">
        <v>18</v>
      </c>
      <c r="N91" s="251">
        <v>13254</v>
      </c>
      <c r="O91" s="222">
        <f t="shared" si="24"/>
        <v>5301600</v>
      </c>
      <c r="P91" s="223">
        <v>318096</v>
      </c>
      <c r="Q91" s="219" t="s">
        <v>19</v>
      </c>
      <c r="R91" s="251">
        <v>9295</v>
      </c>
      <c r="S91" s="222">
        <f t="shared" si="25"/>
        <v>3718000</v>
      </c>
      <c r="T91" s="223">
        <v>223080</v>
      </c>
      <c r="U91" s="219" t="s">
        <v>20</v>
      </c>
      <c r="V91" s="251">
        <v>4708.7061208120003</v>
      </c>
      <c r="W91" s="222">
        <f t="shared" si="26"/>
        <v>1883482.4483248002</v>
      </c>
      <c r="X91" s="223">
        <v>113008.94689948802</v>
      </c>
      <c r="Y91" s="268" t="s">
        <v>412</v>
      </c>
      <c r="Z91" s="811">
        <v>10945</v>
      </c>
      <c r="AA91" s="224">
        <f t="shared" si="27"/>
        <v>4378000</v>
      </c>
      <c r="AB91" s="805" t="s">
        <v>967</v>
      </c>
      <c r="AC91" s="811">
        <v>8954.5213057479123</v>
      </c>
      <c r="AD91" s="222">
        <f t="shared" si="28"/>
        <v>3581808.5222991649</v>
      </c>
      <c r="AE91" s="810" t="s">
        <v>985</v>
      </c>
      <c r="AF91" s="811">
        <v>13168.115280862594</v>
      </c>
      <c r="AG91" s="222">
        <f t="shared" si="29"/>
        <v>5267246.112345038</v>
      </c>
      <c r="AH91" s="805" t="s">
        <v>1256</v>
      </c>
      <c r="AI91" s="811">
        <v>18860.284686070179</v>
      </c>
      <c r="AJ91" s="222">
        <f t="shared" si="30"/>
        <v>7544113.874428072</v>
      </c>
      <c r="AK91" s="805" t="s">
        <v>1257</v>
      </c>
      <c r="AL91" s="811">
        <v>16837.038933854921</v>
      </c>
      <c r="AM91" s="222">
        <f t="shared" si="31"/>
        <v>6734815.5735419691</v>
      </c>
      <c r="AN91" s="805" t="s">
        <v>1258</v>
      </c>
      <c r="AO91" s="811">
        <v>6810.6807104775426</v>
      </c>
      <c r="AP91" s="222">
        <f t="shared" si="32"/>
        <v>2724272.284191017</v>
      </c>
      <c r="CC91"/>
    </row>
    <row r="92" spans="3:81" ht="14.5">
      <c r="C92" s="247" t="s">
        <v>363</v>
      </c>
      <c r="D92" s="221">
        <v>0.4</v>
      </c>
      <c r="E92" s="219" t="s">
        <v>1009</v>
      </c>
      <c r="F92" s="251"/>
      <c r="G92" s="222">
        <f t="shared" si="22"/>
        <v>0</v>
      </c>
      <c r="H92" s="222">
        <v>0</v>
      </c>
      <c r="I92" s="219" t="s">
        <v>17</v>
      </c>
      <c r="J92" s="251">
        <v>524</v>
      </c>
      <c r="K92" s="222">
        <f t="shared" si="23"/>
        <v>209600.00000000003</v>
      </c>
      <c r="L92" s="222">
        <v>6288.0000000000009</v>
      </c>
      <c r="M92" s="219" t="s">
        <v>18</v>
      </c>
      <c r="N92" s="251">
        <v>295</v>
      </c>
      <c r="O92" s="222">
        <f t="shared" si="24"/>
        <v>118000</v>
      </c>
      <c r="P92" s="223">
        <v>7080</v>
      </c>
      <c r="Q92" s="219" t="s">
        <v>19</v>
      </c>
      <c r="R92" s="251">
        <v>196</v>
      </c>
      <c r="S92" s="222">
        <f t="shared" si="25"/>
        <v>78400</v>
      </c>
      <c r="T92" s="223">
        <v>4704</v>
      </c>
      <c r="U92" s="219" t="s">
        <v>20</v>
      </c>
      <c r="V92" s="251">
        <v>172.181659195777</v>
      </c>
      <c r="W92" s="222">
        <f t="shared" si="26"/>
        <v>68872.663678310797</v>
      </c>
      <c r="X92" s="223">
        <v>4132.359820698648</v>
      </c>
      <c r="Y92" s="268" t="s">
        <v>412</v>
      </c>
      <c r="Z92" s="811"/>
      <c r="AA92" s="224">
        <f t="shared" si="27"/>
        <v>0</v>
      </c>
      <c r="AB92" s="805" t="s">
        <v>967</v>
      </c>
      <c r="AC92" s="811">
        <v>586.36495887028298</v>
      </c>
      <c r="AD92" s="222">
        <f t="shared" si="28"/>
        <v>234545.9835481132</v>
      </c>
      <c r="AE92" s="810" t="s">
        <v>985</v>
      </c>
      <c r="AF92" s="811">
        <v>818.17948524479959</v>
      </c>
      <c r="AG92" s="222">
        <f t="shared" si="29"/>
        <v>327271.79409791983</v>
      </c>
      <c r="AH92" s="805" t="s">
        <v>1256</v>
      </c>
      <c r="AI92" s="811">
        <v>1281.6545851359053</v>
      </c>
      <c r="AJ92" s="222">
        <f t="shared" si="30"/>
        <v>512661.8340543622</v>
      </c>
      <c r="AK92" s="805" t="s">
        <v>1257</v>
      </c>
      <c r="AL92" s="811">
        <v>419.65000522448673</v>
      </c>
      <c r="AM92" s="222">
        <f t="shared" si="31"/>
        <v>167860.0020897947</v>
      </c>
      <c r="AN92" s="805" t="s">
        <v>1258</v>
      </c>
      <c r="AO92" s="811">
        <v>135.78005459692406</v>
      </c>
      <c r="AP92" s="222">
        <f t="shared" si="32"/>
        <v>54312.021838769622</v>
      </c>
      <c r="CC92"/>
    </row>
    <row r="93" spans="3:81" ht="14.5">
      <c r="C93" s="247" t="s">
        <v>364</v>
      </c>
      <c r="D93" s="221">
        <v>0.83</v>
      </c>
      <c r="E93" s="219" t="s">
        <v>1009</v>
      </c>
      <c r="F93" s="251">
        <v>33382.980000000003</v>
      </c>
      <c r="G93" s="222">
        <f t="shared" si="22"/>
        <v>27707873.400000002</v>
      </c>
      <c r="H93" s="222">
        <v>1662472.4040000001</v>
      </c>
      <c r="I93" s="219" t="s">
        <v>17</v>
      </c>
      <c r="J93" s="251">
        <v>8509</v>
      </c>
      <c r="K93" s="222">
        <f t="shared" si="23"/>
        <v>7062469.9999999991</v>
      </c>
      <c r="L93" s="222">
        <v>211874.09999999998</v>
      </c>
      <c r="M93" s="219" t="s">
        <v>18</v>
      </c>
      <c r="N93" s="251">
        <v>10853</v>
      </c>
      <c r="O93" s="222">
        <f t="shared" si="24"/>
        <v>9007990</v>
      </c>
      <c r="P93" s="223">
        <v>540479.4</v>
      </c>
      <c r="Q93" s="219" t="s">
        <v>19</v>
      </c>
      <c r="R93" s="251">
        <v>5639</v>
      </c>
      <c r="S93" s="222">
        <f t="shared" si="25"/>
        <v>4680370</v>
      </c>
      <c r="T93" s="223">
        <v>280822.2</v>
      </c>
      <c r="U93" s="219" t="s">
        <v>20</v>
      </c>
      <c r="V93" s="251">
        <v>5211.2247489600804</v>
      </c>
      <c r="W93" s="222">
        <f t="shared" si="26"/>
        <v>4325316.5416368665</v>
      </c>
      <c r="X93" s="223">
        <v>259518.99249821197</v>
      </c>
      <c r="Y93" s="268" t="s">
        <v>412</v>
      </c>
      <c r="Z93" s="811">
        <v>12550</v>
      </c>
      <c r="AA93" s="224">
        <f t="shared" si="27"/>
        <v>10416500</v>
      </c>
      <c r="AB93" s="805" t="s">
        <v>967</v>
      </c>
      <c r="AC93" s="811">
        <v>5326.251496898919</v>
      </c>
      <c r="AD93" s="222">
        <f t="shared" si="28"/>
        <v>4420788.742426103</v>
      </c>
      <c r="AE93" s="810" t="s">
        <v>985</v>
      </c>
      <c r="AF93" s="811">
        <v>5184.4423593485926</v>
      </c>
      <c r="AG93" s="222">
        <f t="shared" si="29"/>
        <v>4303087.1582593322</v>
      </c>
      <c r="AH93" s="805" t="s">
        <v>1256</v>
      </c>
      <c r="AI93" s="811">
        <v>9053.3712639909918</v>
      </c>
      <c r="AJ93" s="222">
        <f t="shared" si="30"/>
        <v>7514298.1491125226</v>
      </c>
      <c r="AK93" s="805" t="s">
        <v>1257</v>
      </c>
      <c r="AL93" s="811">
        <v>12943.762176903278</v>
      </c>
      <c r="AM93" s="222">
        <f t="shared" si="31"/>
        <v>10743322.60682972</v>
      </c>
      <c r="AN93" s="805" t="s">
        <v>1258</v>
      </c>
      <c r="AO93" s="811">
        <v>10419.181158977952</v>
      </c>
      <c r="AP93" s="222">
        <f t="shared" si="32"/>
        <v>8647920.3619516995</v>
      </c>
      <c r="CC93"/>
    </row>
    <row r="94" spans="3:81" ht="14.5">
      <c r="C94" s="247" t="s">
        <v>365</v>
      </c>
      <c r="D94" s="221">
        <v>0.83</v>
      </c>
      <c r="E94" s="219" t="s">
        <v>1009</v>
      </c>
      <c r="F94" s="251"/>
      <c r="G94" s="222">
        <f t="shared" si="22"/>
        <v>0</v>
      </c>
      <c r="H94" s="222">
        <v>0</v>
      </c>
      <c r="I94" s="219" t="s">
        <v>17</v>
      </c>
      <c r="J94" s="251">
        <v>9541</v>
      </c>
      <c r="K94" s="222">
        <f t="shared" si="23"/>
        <v>7919030</v>
      </c>
      <c r="L94" s="222">
        <v>237570.9</v>
      </c>
      <c r="M94" s="219" t="s">
        <v>18</v>
      </c>
      <c r="N94" s="251">
        <v>7077</v>
      </c>
      <c r="O94" s="222">
        <f t="shared" si="24"/>
        <v>5873910</v>
      </c>
      <c r="P94" s="223">
        <v>352434.6</v>
      </c>
      <c r="Q94" s="219" t="s">
        <v>19</v>
      </c>
      <c r="R94" s="251">
        <v>9005</v>
      </c>
      <c r="S94" s="222">
        <f t="shared" si="25"/>
        <v>7474150</v>
      </c>
      <c r="T94" s="223">
        <v>448449</v>
      </c>
      <c r="U94" s="219" t="s">
        <v>20</v>
      </c>
      <c r="V94" s="251">
        <v>4779.2599672486604</v>
      </c>
      <c r="W94" s="222">
        <f t="shared" si="26"/>
        <v>3966785.7728163879</v>
      </c>
      <c r="X94" s="223">
        <v>238007.14636898326</v>
      </c>
      <c r="Y94" s="268" t="s">
        <v>412</v>
      </c>
      <c r="Z94" s="811"/>
      <c r="AA94" s="224">
        <f t="shared" si="27"/>
        <v>0</v>
      </c>
      <c r="AB94" s="805" t="s">
        <v>967</v>
      </c>
      <c r="AC94" s="811">
        <v>5346.1936769138929</v>
      </c>
      <c r="AD94" s="222">
        <f t="shared" si="28"/>
        <v>4437340.7518385313</v>
      </c>
      <c r="AE94" s="810" t="s">
        <v>985</v>
      </c>
      <c r="AF94" s="811">
        <v>5910.9988408878353</v>
      </c>
      <c r="AG94" s="222">
        <f t="shared" si="29"/>
        <v>4906129.0379369026</v>
      </c>
      <c r="AH94" s="805" t="s">
        <v>1256</v>
      </c>
      <c r="AI94" s="811">
        <v>2820.1230540801103</v>
      </c>
      <c r="AJ94" s="222">
        <f t="shared" si="30"/>
        <v>2340702.1348864916</v>
      </c>
      <c r="AK94" s="805" t="s">
        <v>1257</v>
      </c>
      <c r="AL94" s="811">
        <v>4773.445988539861</v>
      </c>
      <c r="AM94" s="222">
        <f t="shared" si="31"/>
        <v>3961960.1704880842</v>
      </c>
      <c r="AN94" s="805" t="s">
        <v>1258</v>
      </c>
      <c r="AO94" s="811">
        <v>4253.2492589680814</v>
      </c>
      <c r="AP94" s="222">
        <f t="shared" si="32"/>
        <v>3530196.8849435076</v>
      </c>
      <c r="CC94"/>
    </row>
    <row r="95" spans="3:81" ht="14.5">
      <c r="C95" s="247" t="s">
        <v>366</v>
      </c>
      <c r="D95" s="221">
        <v>0.4</v>
      </c>
      <c r="E95" s="219" t="s">
        <v>1009</v>
      </c>
      <c r="F95" s="251">
        <v>18047.490000000002</v>
      </c>
      <c r="G95" s="222">
        <f t="shared" si="22"/>
        <v>7218996.0000000009</v>
      </c>
      <c r="H95" s="222">
        <v>433139.76000000007</v>
      </c>
      <c r="I95" s="219" t="s">
        <v>17</v>
      </c>
      <c r="J95" s="251">
        <v>5296</v>
      </c>
      <c r="K95" s="222">
        <f t="shared" si="23"/>
        <v>2118400</v>
      </c>
      <c r="L95" s="222">
        <v>63552</v>
      </c>
      <c r="M95" s="219" t="s">
        <v>18</v>
      </c>
      <c r="N95" s="251">
        <v>15053</v>
      </c>
      <c r="O95" s="222">
        <f t="shared" si="24"/>
        <v>6021200.0000000009</v>
      </c>
      <c r="P95" s="223">
        <v>361272.00000000006</v>
      </c>
      <c r="Q95" s="219" t="s">
        <v>19</v>
      </c>
      <c r="R95" s="251">
        <v>7344</v>
      </c>
      <c r="S95" s="222">
        <f t="shared" si="25"/>
        <v>2937600.0000000005</v>
      </c>
      <c r="T95" s="223">
        <v>176256.00000000003</v>
      </c>
      <c r="U95" s="219" t="s">
        <v>20</v>
      </c>
      <c r="V95" s="251">
        <v>6833.46767535857</v>
      </c>
      <c r="W95" s="222">
        <f t="shared" si="26"/>
        <v>2733387.0701434282</v>
      </c>
      <c r="X95" s="223">
        <v>164003.22420860568</v>
      </c>
      <c r="Y95" s="268" t="s">
        <v>412</v>
      </c>
      <c r="Z95" s="811">
        <v>17856</v>
      </c>
      <c r="AA95" s="224">
        <f t="shared" si="27"/>
        <v>7142400.0000000009</v>
      </c>
      <c r="AB95" s="805" t="s">
        <v>967</v>
      </c>
      <c r="AC95" s="811">
        <v>12916.434041914657</v>
      </c>
      <c r="AD95" s="222">
        <f t="shared" si="28"/>
        <v>5166573.6167658633</v>
      </c>
      <c r="AE95" s="810" t="s">
        <v>985</v>
      </c>
      <c r="AF95" s="811">
        <v>17527.6269557327</v>
      </c>
      <c r="AG95" s="222">
        <f t="shared" si="29"/>
        <v>7011050.7822930804</v>
      </c>
      <c r="AH95" s="805" t="s">
        <v>1256</v>
      </c>
      <c r="AI95" s="811">
        <v>8041.5331124567347</v>
      </c>
      <c r="AJ95" s="222">
        <f t="shared" si="30"/>
        <v>3216613.2449826943</v>
      </c>
      <c r="AK95" s="805" t="s">
        <v>1257</v>
      </c>
      <c r="AL95" s="811">
        <v>11859.484223763007</v>
      </c>
      <c r="AM95" s="222">
        <f t="shared" si="31"/>
        <v>4743793.6895052036</v>
      </c>
      <c r="AN95" s="805" t="s">
        <v>1258</v>
      </c>
      <c r="AO95" s="811">
        <v>19815.08424752051</v>
      </c>
      <c r="AP95" s="222">
        <f t="shared" si="32"/>
        <v>7926033.699008204</v>
      </c>
      <c r="CC95"/>
    </row>
    <row r="96" spans="3:81" ht="14.5">
      <c r="C96" s="247" t="s">
        <v>367</v>
      </c>
      <c r="D96" s="221">
        <v>0.4</v>
      </c>
      <c r="E96" s="219" t="s">
        <v>1009</v>
      </c>
      <c r="F96" s="251"/>
      <c r="G96" s="222">
        <f t="shared" si="22"/>
        <v>0</v>
      </c>
      <c r="H96" s="222">
        <v>0</v>
      </c>
      <c r="I96" s="219" t="s">
        <v>17</v>
      </c>
      <c r="J96" s="251">
        <v>3152</v>
      </c>
      <c r="K96" s="222">
        <f t="shared" si="23"/>
        <v>1260800.0000000002</v>
      </c>
      <c r="L96" s="222">
        <v>37824.000000000007</v>
      </c>
      <c r="M96" s="219" t="s">
        <v>18</v>
      </c>
      <c r="N96" s="251">
        <v>11103</v>
      </c>
      <c r="O96" s="222">
        <f t="shared" si="24"/>
        <v>4441200</v>
      </c>
      <c r="P96" s="223">
        <v>266472</v>
      </c>
      <c r="Q96" s="219" t="s">
        <v>19</v>
      </c>
      <c r="R96" s="251">
        <v>10668</v>
      </c>
      <c r="S96" s="222">
        <f t="shared" si="25"/>
        <v>4267200</v>
      </c>
      <c r="T96" s="223">
        <v>256032</v>
      </c>
      <c r="U96" s="219" t="s">
        <v>20</v>
      </c>
      <c r="V96" s="251">
        <v>9082.4912542021393</v>
      </c>
      <c r="W96" s="222">
        <f t="shared" si="26"/>
        <v>3632996.5016808561</v>
      </c>
      <c r="X96" s="223">
        <v>217979.79010086815</v>
      </c>
      <c r="Y96" s="268" t="s">
        <v>412</v>
      </c>
      <c r="Z96" s="811"/>
      <c r="AA96" s="224">
        <f t="shared" si="27"/>
        <v>0</v>
      </c>
      <c r="AB96" s="805" t="s">
        <v>967</v>
      </c>
      <c r="AC96" s="811">
        <v>13632.876897616321</v>
      </c>
      <c r="AD96" s="222">
        <f t="shared" si="28"/>
        <v>5453150.7590465285</v>
      </c>
      <c r="AE96" s="810" t="s">
        <v>985</v>
      </c>
      <c r="AF96" s="811">
        <v>4082.191350456013</v>
      </c>
      <c r="AG96" s="222">
        <f t="shared" si="29"/>
        <v>1632876.5401824054</v>
      </c>
      <c r="AH96" s="805" t="s">
        <v>1256</v>
      </c>
      <c r="AI96" s="811">
        <v>4110.4097350361499</v>
      </c>
      <c r="AJ96" s="222">
        <f t="shared" si="30"/>
        <v>1644163.89401446</v>
      </c>
      <c r="AK96" s="805" t="s">
        <v>1257</v>
      </c>
      <c r="AL96" s="811">
        <v>5817.8477347350099</v>
      </c>
      <c r="AM96" s="222">
        <f t="shared" si="31"/>
        <v>2327139.0938940039</v>
      </c>
      <c r="AN96" s="805" t="s">
        <v>1258</v>
      </c>
      <c r="AO96" s="811">
        <v>4458.263044178022</v>
      </c>
      <c r="AP96" s="222">
        <f t="shared" si="32"/>
        <v>1783305.217671209</v>
      </c>
      <c r="CC96"/>
    </row>
    <row r="97" spans="3:81" ht="14.5">
      <c r="C97" s="247" t="s">
        <v>368</v>
      </c>
      <c r="D97" s="221">
        <v>0.83</v>
      </c>
      <c r="E97" s="219" t="s">
        <v>1009</v>
      </c>
      <c r="F97" s="251">
        <v>3791.98</v>
      </c>
      <c r="G97" s="222">
        <f t="shared" si="22"/>
        <v>3147343.4</v>
      </c>
      <c r="H97" s="222">
        <v>188840.60399999999</v>
      </c>
      <c r="I97" s="219" t="s">
        <v>17</v>
      </c>
      <c r="J97" s="251">
        <v>4101</v>
      </c>
      <c r="K97" s="222">
        <f t="shared" si="23"/>
        <v>3403830</v>
      </c>
      <c r="L97" s="222">
        <v>102114.9</v>
      </c>
      <c r="M97" s="219" t="s">
        <v>18</v>
      </c>
      <c r="N97" s="251">
        <v>2616</v>
      </c>
      <c r="O97" s="222">
        <f t="shared" si="24"/>
        <v>2171279.9999999995</v>
      </c>
      <c r="P97" s="223">
        <v>130276.79999999997</v>
      </c>
      <c r="Q97" s="219" t="s">
        <v>19</v>
      </c>
      <c r="R97" s="251">
        <v>969</v>
      </c>
      <c r="S97" s="222">
        <f t="shared" si="25"/>
        <v>804270</v>
      </c>
      <c r="T97" s="223">
        <v>48256.2</v>
      </c>
      <c r="U97" s="219" t="s">
        <v>20</v>
      </c>
      <c r="V97" s="251">
        <v>1084.65434582428</v>
      </c>
      <c r="W97" s="222">
        <f t="shared" si="26"/>
        <v>900263.10703415226</v>
      </c>
      <c r="X97" s="223">
        <v>54015.786422049132</v>
      </c>
      <c r="Y97" s="268" t="s">
        <v>412</v>
      </c>
      <c r="Z97" s="811">
        <v>3957</v>
      </c>
      <c r="AA97" s="224">
        <f t="shared" si="27"/>
        <v>3284310</v>
      </c>
      <c r="AB97" s="805" t="s">
        <v>967</v>
      </c>
      <c r="AC97" s="811">
        <v>746.1155933539593</v>
      </c>
      <c r="AD97" s="222">
        <f t="shared" si="28"/>
        <v>619275.94248378614</v>
      </c>
      <c r="AE97" s="810" t="s">
        <v>985</v>
      </c>
      <c r="AF97" s="811">
        <v>1216.1255445766867</v>
      </c>
      <c r="AG97" s="222">
        <f t="shared" si="29"/>
        <v>1009384.20199865</v>
      </c>
      <c r="AH97" s="805" t="s">
        <v>1256</v>
      </c>
      <c r="AI97" s="811">
        <v>678.44893029495154</v>
      </c>
      <c r="AJ97" s="222">
        <f t="shared" si="30"/>
        <v>563112.6121448098</v>
      </c>
      <c r="AK97" s="805" t="s">
        <v>1257</v>
      </c>
      <c r="AL97" s="811">
        <v>2957.4100429584801</v>
      </c>
      <c r="AM97" s="222">
        <f t="shared" si="31"/>
        <v>2454650.3356555379</v>
      </c>
      <c r="AN97" s="805" t="s">
        <v>1258</v>
      </c>
      <c r="AO97" s="811">
        <v>1435.8251232115242</v>
      </c>
      <c r="AP97" s="222">
        <f t="shared" si="32"/>
        <v>1191734.852265565</v>
      </c>
      <c r="CC97"/>
    </row>
    <row r="98" spans="3:81" ht="14.5">
      <c r="C98" s="247" t="s">
        <v>369</v>
      </c>
      <c r="D98" s="221">
        <v>0.83</v>
      </c>
      <c r="E98" s="219" t="s">
        <v>1009</v>
      </c>
      <c r="F98" s="251"/>
      <c r="G98" s="222">
        <f t="shared" si="22"/>
        <v>0</v>
      </c>
      <c r="H98" s="222">
        <v>0</v>
      </c>
      <c r="I98" s="219" t="s">
        <v>17</v>
      </c>
      <c r="J98" s="251">
        <v>1298</v>
      </c>
      <c r="K98" s="222">
        <f t="shared" si="23"/>
        <v>1077340</v>
      </c>
      <c r="L98" s="222">
        <v>32320.199999999997</v>
      </c>
      <c r="M98" s="219" t="s">
        <v>18</v>
      </c>
      <c r="N98" s="251">
        <v>1186</v>
      </c>
      <c r="O98" s="222">
        <f t="shared" si="24"/>
        <v>984380</v>
      </c>
      <c r="P98" s="223">
        <v>59062.799999999996</v>
      </c>
      <c r="Q98" s="219" t="s">
        <v>19</v>
      </c>
      <c r="R98" s="251">
        <v>1521</v>
      </c>
      <c r="S98" s="222">
        <f t="shared" si="25"/>
        <v>1262429.9999999998</v>
      </c>
      <c r="T98" s="223">
        <v>75745.799999999988</v>
      </c>
      <c r="U98" s="219" t="s">
        <v>20</v>
      </c>
      <c r="V98" s="251">
        <v>1152.9308199265199</v>
      </c>
      <c r="W98" s="222">
        <f t="shared" si="26"/>
        <v>956932.58053901151</v>
      </c>
      <c r="X98" s="223">
        <v>57415.954832340685</v>
      </c>
      <c r="Y98" s="268" t="s">
        <v>412</v>
      </c>
      <c r="Z98" s="811"/>
      <c r="AA98" s="224">
        <f t="shared" si="27"/>
        <v>0</v>
      </c>
      <c r="AB98" s="805" t="s">
        <v>967</v>
      </c>
      <c r="AC98" s="811">
        <v>538.52561905475011</v>
      </c>
      <c r="AD98" s="222">
        <f t="shared" si="28"/>
        <v>446976.26381544257</v>
      </c>
      <c r="AE98" s="810" t="s">
        <v>985</v>
      </c>
      <c r="AF98" s="811">
        <v>473.8681918180942</v>
      </c>
      <c r="AG98" s="222">
        <f t="shared" si="29"/>
        <v>393310.59920901817</v>
      </c>
      <c r="AH98" s="805" t="s">
        <v>1256</v>
      </c>
      <c r="AI98" s="811">
        <v>380.8954997842547</v>
      </c>
      <c r="AJ98" s="222">
        <f t="shared" si="30"/>
        <v>316143.26482093142</v>
      </c>
      <c r="AK98" s="805" t="s">
        <v>1257</v>
      </c>
      <c r="AL98" s="811">
        <v>352.73804657790595</v>
      </c>
      <c r="AM98" s="222">
        <f t="shared" si="31"/>
        <v>292772.57865966193</v>
      </c>
      <c r="AN98" s="805" t="s">
        <v>1258</v>
      </c>
      <c r="AO98" s="811">
        <v>706.67391748197292</v>
      </c>
      <c r="AP98" s="222">
        <f t="shared" si="32"/>
        <v>586539.35151003744</v>
      </c>
      <c r="CC98"/>
    </row>
    <row r="99" spans="3:81" ht="14.5">
      <c r="C99" s="247" t="s">
        <v>370</v>
      </c>
      <c r="D99" s="221">
        <v>0.4</v>
      </c>
      <c r="E99" s="219" t="s">
        <v>1009</v>
      </c>
      <c r="F99" s="251">
        <v>17589.919999999998</v>
      </c>
      <c r="G99" s="222">
        <f t="shared" si="22"/>
        <v>7035968</v>
      </c>
      <c r="H99" s="222">
        <v>422158.07999999996</v>
      </c>
      <c r="I99" s="219" t="s">
        <v>17</v>
      </c>
      <c r="J99" s="251">
        <v>12822</v>
      </c>
      <c r="K99" s="222">
        <f t="shared" si="23"/>
        <v>5128800</v>
      </c>
      <c r="L99" s="222">
        <v>153864</v>
      </c>
      <c r="M99" s="219" t="s">
        <v>18</v>
      </c>
      <c r="N99" s="251">
        <v>12410</v>
      </c>
      <c r="O99" s="222">
        <f t="shared" si="24"/>
        <v>4964000</v>
      </c>
      <c r="P99" s="223">
        <v>297840</v>
      </c>
      <c r="Q99" s="219" t="s">
        <v>19</v>
      </c>
      <c r="R99" s="251">
        <v>9214</v>
      </c>
      <c r="S99" s="222">
        <f t="shared" si="25"/>
        <v>3685600.0000000005</v>
      </c>
      <c r="T99" s="223">
        <v>221136.00000000003</v>
      </c>
      <c r="U99" s="219" t="s">
        <v>20</v>
      </c>
      <c r="V99" s="251">
        <v>9649.6747382517005</v>
      </c>
      <c r="W99" s="222">
        <f t="shared" si="26"/>
        <v>3859869.8953006808</v>
      </c>
      <c r="X99" s="223">
        <v>231592.19371804083</v>
      </c>
      <c r="Y99" s="268" t="s">
        <v>412</v>
      </c>
      <c r="Z99" s="811">
        <v>26297</v>
      </c>
      <c r="AA99" s="224">
        <f t="shared" si="27"/>
        <v>10518800.000000002</v>
      </c>
      <c r="AB99" s="805" t="s">
        <v>967</v>
      </c>
      <c r="AC99" s="811">
        <v>18885.233010190204</v>
      </c>
      <c r="AD99" s="222">
        <f t="shared" si="28"/>
        <v>7554093.2040760815</v>
      </c>
      <c r="AE99" s="810" t="s">
        <v>985</v>
      </c>
      <c r="AF99" s="811">
        <v>14191.988426137588</v>
      </c>
      <c r="AG99" s="222">
        <f t="shared" si="29"/>
        <v>5676795.3704550359</v>
      </c>
      <c r="AH99" s="805" t="s">
        <v>1256</v>
      </c>
      <c r="AI99" s="811">
        <v>27263.212096184332</v>
      </c>
      <c r="AJ99" s="222">
        <f t="shared" si="30"/>
        <v>10905284.838473734</v>
      </c>
      <c r="AK99" s="805" t="s">
        <v>1257</v>
      </c>
      <c r="AL99" s="811">
        <v>24080.95428495399</v>
      </c>
      <c r="AM99" s="222">
        <f t="shared" si="31"/>
        <v>9632381.7139815968</v>
      </c>
      <c r="AN99" s="805" t="s">
        <v>1258</v>
      </c>
      <c r="AO99" s="811">
        <v>18797.452919738414</v>
      </c>
      <c r="AP99" s="222">
        <f t="shared" si="32"/>
        <v>7518981.1678953664</v>
      </c>
      <c r="CC99"/>
    </row>
    <row r="100" spans="3:81" ht="14.5">
      <c r="C100" s="247" t="s">
        <v>371</v>
      </c>
      <c r="D100" s="225">
        <v>0.4</v>
      </c>
      <c r="E100" s="219" t="s">
        <v>1009</v>
      </c>
      <c r="F100" s="251"/>
      <c r="G100" s="222">
        <f t="shared" si="22"/>
        <v>0</v>
      </c>
      <c r="H100" s="222">
        <v>0</v>
      </c>
      <c r="I100" s="219" t="s">
        <v>17</v>
      </c>
      <c r="J100" s="251">
        <v>951</v>
      </c>
      <c r="K100" s="222">
        <f t="shared" si="23"/>
        <v>380400.00000000006</v>
      </c>
      <c r="L100" s="222">
        <v>11412.000000000002</v>
      </c>
      <c r="M100" s="219" t="s">
        <v>18</v>
      </c>
      <c r="N100" s="251">
        <v>1754</v>
      </c>
      <c r="O100" s="222">
        <f t="shared" si="24"/>
        <v>701600</v>
      </c>
      <c r="P100" s="223">
        <v>42096</v>
      </c>
      <c r="Q100" s="219" t="s">
        <v>19</v>
      </c>
      <c r="R100" s="251">
        <v>2994</v>
      </c>
      <c r="S100" s="222">
        <f t="shared" si="25"/>
        <v>1197600.0000000002</v>
      </c>
      <c r="T100" s="223">
        <v>71856.000000000015</v>
      </c>
      <c r="U100" s="219" t="s">
        <v>20</v>
      </c>
      <c r="V100" s="251">
        <v>2791.5553497566202</v>
      </c>
      <c r="W100" s="222">
        <f t="shared" si="26"/>
        <v>1116622.1399026481</v>
      </c>
      <c r="X100" s="223">
        <v>66997.328394158874</v>
      </c>
      <c r="Y100" s="268" t="s">
        <v>412</v>
      </c>
      <c r="Z100" s="811"/>
      <c r="AA100" s="224">
        <f t="shared" si="27"/>
        <v>0</v>
      </c>
      <c r="AB100" s="805" t="s">
        <v>967</v>
      </c>
      <c r="AC100" s="811">
        <v>759.76646660022072</v>
      </c>
      <c r="AD100" s="222">
        <f t="shared" si="28"/>
        <v>303906.5866400883</v>
      </c>
      <c r="AE100" s="810" t="s">
        <v>985</v>
      </c>
      <c r="AF100" s="811">
        <v>892.84489465336605</v>
      </c>
      <c r="AG100" s="222">
        <f t="shared" si="29"/>
        <v>357137.95786134643</v>
      </c>
      <c r="AH100" s="805" t="s">
        <v>1256</v>
      </c>
      <c r="AI100" s="811">
        <v>609.0496600748254</v>
      </c>
      <c r="AJ100" s="222">
        <f t="shared" si="30"/>
        <v>243619.86402993018</v>
      </c>
      <c r="AK100" s="805" t="s">
        <v>1257</v>
      </c>
      <c r="AL100" s="811">
        <v>564.4398932026312</v>
      </c>
      <c r="AM100" s="222">
        <f t="shared" si="31"/>
        <v>225775.95728105248</v>
      </c>
      <c r="AN100" s="805" t="s">
        <v>1258</v>
      </c>
      <c r="AO100" s="811">
        <v>738.76136082883318</v>
      </c>
      <c r="AP100" s="222">
        <f t="shared" si="32"/>
        <v>295504.54433153331</v>
      </c>
      <c r="CC100"/>
    </row>
    <row r="101" spans="3:81" ht="14.5">
      <c r="C101" s="236" t="s">
        <v>15</v>
      </c>
      <c r="D101" s="248"/>
      <c r="E101" s="249"/>
      <c r="F101" s="250">
        <f>SUM(F89:F100)</f>
        <v>88730.87</v>
      </c>
      <c r="G101" s="255">
        <f>SUM(G89:G100)</f>
        <v>52776511.899999999</v>
      </c>
      <c r="H101" s="250">
        <f>SUM(H89:H100)</f>
        <v>3166590.7140000002</v>
      </c>
      <c r="I101" s="249"/>
      <c r="J101" s="250">
        <f>SUM(J89:J100)</f>
        <v>53996</v>
      </c>
      <c r="K101" s="255">
        <f>SUM(K89:K100)</f>
        <v>32460200</v>
      </c>
      <c r="L101" s="250">
        <f>SUM(L89:L100)</f>
        <v>1015712.7</v>
      </c>
      <c r="M101" s="249"/>
      <c r="N101" s="250">
        <f>SUM(N89:N100)</f>
        <v>77332</v>
      </c>
      <c r="O101" s="255">
        <f>SUM(O89:O100)</f>
        <v>41021890</v>
      </c>
      <c r="P101" s="255">
        <f>SUM(P89:P100)</f>
        <v>2461313.4</v>
      </c>
      <c r="Q101" s="249"/>
      <c r="R101" s="250">
        <f>SUM(R89:R100)</f>
        <v>58134</v>
      </c>
      <c r="S101" s="255">
        <f>SUM(S89:S100)</f>
        <v>31175490</v>
      </c>
      <c r="T101" s="255">
        <f>SUM(T89:T100)</f>
        <v>1870529.4000000001</v>
      </c>
      <c r="U101" s="249"/>
      <c r="V101" s="250">
        <f>SUM(V89:V100)</f>
        <v>45974.806525117696</v>
      </c>
      <c r="W101" s="255">
        <f>SUM(W89:W100)</f>
        <v>23866716.392889652</v>
      </c>
      <c r="X101" s="255">
        <f>SUM(X89:X100)</f>
        <v>1432002.9835733965</v>
      </c>
      <c r="Y101" s="249"/>
      <c r="Z101" s="249">
        <f>SUM(Z89:Z100)</f>
        <v>72495</v>
      </c>
      <c r="AA101" s="249"/>
      <c r="AB101" s="249"/>
      <c r="AC101" s="249">
        <f>SUM(AC89:AC100)</f>
        <v>68728.290519575661</v>
      </c>
      <c r="AD101" s="249"/>
      <c r="AE101" s="290"/>
      <c r="AF101" s="249">
        <f>SUM(AF89:AF100)</f>
        <v>64058.415735550916</v>
      </c>
      <c r="AG101" s="249"/>
      <c r="AH101" s="249"/>
      <c r="AI101" s="249">
        <f>SUM(AI89:AI100)</f>
        <v>73979.955927434974</v>
      </c>
      <c r="AJ101" s="250"/>
      <c r="AK101" s="249"/>
      <c r="AL101" s="249">
        <f>SUM(AL89:AL100)</f>
        <v>81030.337034461816</v>
      </c>
      <c r="AM101" s="250"/>
      <c r="AN101" s="249"/>
      <c r="AO101" s="249">
        <f>SUM(AO89:AO100)</f>
        <v>68358.373950290232</v>
      </c>
      <c r="AP101" s="250"/>
      <c r="CC101"/>
    </row>
    <row r="102" spans="3:81" ht="14.5">
      <c r="C102" s="273"/>
      <c r="D102" s="274"/>
      <c r="E102" s="275"/>
      <c r="F102" s="276"/>
      <c r="G102" s="277"/>
      <c r="H102" s="276"/>
      <c r="I102" s="275"/>
      <c r="J102" s="276"/>
      <c r="K102" s="277"/>
      <c r="L102" s="276"/>
      <c r="M102" s="275"/>
      <c r="N102" s="276"/>
      <c r="O102" s="277"/>
      <c r="P102" s="277"/>
      <c r="Q102" s="275"/>
      <c r="R102" s="276"/>
      <c r="S102" s="277"/>
      <c r="T102" s="277"/>
      <c r="U102" s="275"/>
      <c r="V102" s="276"/>
      <c r="W102" s="277"/>
      <c r="X102" s="277"/>
      <c r="Y102" s="275"/>
      <c r="Z102" s="275"/>
      <c r="AA102" s="275"/>
      <c r="AB102" s="275"/>
    </row>
    <row r="103" spans="3:81" ht="18.5">
      <c r="C103" s="271" t="s">
        <v>0</v>
      </c>
      <c r="D103" s="2577" t="s">
        <v>384</v>
      </c>
      <c r="E103" s="2577"/>
      <c r="F103" s="2577"/>
      <c r="G103" s="2577"/>
      <c r="H103" s="2577"/>
      <c r="I103" s="2577"/>
      <c r="J103" s="2577"/>
      <c r="K103" s="2577"/>
      <c r="L103" s="2577"/>
      <c r="M103" s="2577"/>
      <c r="N103" s="2577"/>
      <c r="O103" s="2577"/>
      <c r="P103" s="2577"/>
      <c r="Q103" s="2577"/>
      <c r="R103" s="2577"/>
      <c r="S103" s="2577"/>
      <c r="T103" s="2577"/>
      <c r="U103" s="2577"/>
      <c r="V103" s="2577"/>
      <c r="W103" s="2577"/>
      <c r="X103" s="2577"/>
    </row>
    <row r="104" spans="3:81" ht="14.5">
      <c r="C104" s="2543" t="s">
        <v>699</v>
      </c>
      <c r="D104" s="2543">
        <v>1994</v>
      </c>
      <c r="E104" s="2543"/>
      <c r="F104" s="2543"/>
      <c r="G104" s="2543">
        <v>2000</v>
      </c>
      <c r="H104" s="2543"/>
      <c r="I104" s="2543"/>
      <c r="J104" s="2543">
        <v>2006</v>
      </c>
      <c r="K104" s="2543"/>
      <c r="L104" s="2543"/>
      <c r="M104" s="2543">
        <v>2010</v>
      </c>
      <c r="N104" s="2543"/>
      <c r="O104" s="2543"/>
      <c r="P104" s="2543">
        <v>2012</v>
      </c>
      <c r="Q104" s="2543"/>
      <c r="R104" s="2543"/>
      <c r="S104" s="2543">
        <v>2014</v>
      </c>
      <c r="T104" s="2543"/>
      <c r="U104" s="2543"/>
      <c r="V104" s="2543">
        <v>2016</v>
      </c>
      <c r="W104" s="2543"/>
      <c r="X104" s="2543"/>
      <c r="Y104" s="2543">
        <v>2018</v>
      </c>
      <c r="Z104" s="2543"/>
      <c r="AA104" s="2543"/>
      <c r="AB104" s="2543">
        <v>2020</v>
      </c>
      <c r="AC104" s="2543"/>
      <c r="AD104" s="2543"/>
      <c r="AE104" s="2543">
        <v>2021</v>
      </c>
      <c r="AF104" s="2543"/>
      <c r="AG104" s="2543"/>
      <c r="AH104" s="2543">
        <v>2022</v>
      </c>
      <c r="AI104" s="2543"/>
      <c r="AJ104" s="2543"/>
      <c r="AK104" s="273"/>
      <c r="AL104" s="273"/>
      <c r="AM104" s="273"/>
    </row>
    <row r="105" spans="3:81" ht="14.5">
      <c r="C105" s="2543"/>
      <c r="D105" s="234" t="s">
        <v>3</v>
      </c>
      <c r="E105" s="234" t="s">
        <v>4</v>
      </c>
      <c r="F105" s="254" t="s">
        <v>385</v>
      </c>
      <c r="G105" s="234" t="s">
        <v>3</v>
      </c>
      <c r="H105" s="234" t="s">
        <v>4</v>
      </c>
      <c r="I105" s="254" t="s">
        <v>385</v>
      </c>
      <c r="J105" s="234" t="s">
        <v>3</v>
      </c>
      <c r="K105" s="234" t="s">
        <v>4</v>
      </c>
      <c r="L105" s="254" t="s">
        <v>385</v>
      </c>
      <c r="M105" s="234" t="s">
        <v>3</v>
      </c>
      <c r="N105" s="234" t="s">
        <v>4</v>
      </c>
      <c r="O105" s="254" t="s">
        <v>385</v>
      </c>
      <c r="P105" s="234" t="s">
        <v>3</v>
      </c>
      <c r="Q105" s="234" t="s">
        <v>4</v>
      </c>
      <c r="R105" s="254" t="s">
        <v>385</v>
      </c>
      <c r="S105" s="234" t="s">
        <v>3</v>
      </c>
      <c r="T105" s="234" t="s">
        <v>4</v>
      </c>
      <c r="U105" s="254" t="s">
        <v>385</v>
      </c>
      <c r="V105" s="234" t="s">
        <v>3</v>
      </c>
      <c r="W105" s="234" t="s">
        <v>4</v>
      </c>
      <c r="X105" s="254" t="s">
        <v>385</v>
      </c>
      <c r="Y105" s="234" t="s">
        <v>3</v>
      </c>
      <c r="Z105" s="234" t="s">
        <v>4</v>
      </c>
      <c r="AA105" s="254" t="s">
        <v>385</v>
      </c>
      <c r="AB105" s="234" t="s">
        <v>3</v>
      </c>
      <c r="AC105" s="234" t="s">
        <v>4</v>
      </c>
      <c r="AD105" s="254" t="s">
        <v>385</v>
      </c>
      <c r="AE105" s="234" t="s">
        <v>3</v>
      </c>
      <c r="AF105" s="234" t="s">
        <v>4</v>
      </c>
      <c r="AG105" s="254" t="s">
        <v>385</v>
      </c>
      <c r="AH105" s="234" t="s">
        <v>3</v>
      </c>
      <c r="AI105" s="234" t="s">
        <v>4</v>
      </c>
      <c r="AJ105" s="254" t="s">
        <v>385</v>
      </c>
      <c r="AK105" s="291"/>
      <c r="AL105" s="291"/>
      <c r="AM105" s="812"/>
    </row>
    <row r="106" spans="3:81" ht="14.5">
      <c r="C106" s="247" t="s">
        <v>386</v>
      </c>
      <c r="D106" s="228"/>
      <c r="E106" s="256"/>
      <c r="F106" s="280"/>
      <c r="G106" s="228"/>
      <c r="H106" s="256"/>
      <c r="I106" s="280"/>
      <c r="J106" s="228"/>
      <c r="K106" s="256"/>
      <c r="L106" s="280"/>
      <c r="M106" s="228"/>
      <c r="N106" s="256"/>
      <c r="O106" s="280"/>
      <c r="P106" s="228"/>
      <c r="Q106" s="256"/>
      <c r="R106" s="280"/>
      <c r="S106" s="228"/>
      <c r="T106" s="256"/>
      <c r="U106" s="280"/>
      <c r="V106" s="228"/>
      <c r="W106" s="256"/>
      <c r="X106" s="280"/>
      <c r="Y106" s="228"/>
      <c r="Z106" s="256"/>
      <c r="AA106" s="280"/>
      <c r="AB106" s="228"/>
      <c r="AC106" s="256"/>
      <c r="AD106" s="280"/>
      <c r="AE106" s="228"/>
      <c r="AF106" s="256"/>
      <c r="AG106" s="280"/>
      <c r="AH106" s="228"/>
      <c r="AI106" s="256"/>
      <c r="AJ106" s="280"/>
      <c r="AK106" s="343"/>
      <c r="AL106" s="342"/>
      <c r="AM106" s="463"/>
    </row>
    <row r="107" spans="3:81" ht="14.5">
      <c r="C107" s="272" t="s">
        <v>51</v>
      </c>
      <c r="D107" s="219" t="s">
        <v>1009</v>
      </c>
      <c r="E107" s="278">
        <f>F80+F81</f>
        <v>19762.86</v>
      </c>
      <c r="F107" s="280">
        <f>E107/1000</f>
        <v>19.76286</v>
      </c>
      <c r="G107" s="228"/>
      <c r="H107" s="278">
        <f>I80+I81</f>
        <v>12958</v>
      </c>
      <c r="I107" s="280">
        <f>H107/1000</f>
        <v>12.958</v>
      </c>
      <c r="J107" s="228"/>
      <c r="K107" s="278">
        <f>L80+L81</f>
        <v>7577</v>
      </c>
      <c r="L107" s="280">
        <f>K107/1000</f>
        <v>7.577</v>
      </c>
      <c r="M107" s="220"/>
      <c r="N107" s="278">
        <f>O80+O81</f>
        <v>7605</v>
      </c>
      <c r="O107" s="280">
        <f>N107/1000</f>
        <v>7.6050000000000004</v>
      </c>
      <c r="P107" s="228"/>
      <c r="Q107" s="278">
        <f>R80+R81</f>
        <v>7450</v>
      </c>
      <c r="R107" s="280">
        <f>Q107/1000</f>
        <v>7.45</v>
      </c>
      <c r="S107" s="228" t="s">
        <v>412</v>
      </c>
      <c r="T107" s="278">
        <f>U80+U81</f>
        <v>6814.2370172672854</v>
      </c>
      <c r="U107" s="280">
        <f>T107/1000</f>
        <v>6.8142370172672857</v>
      </c>
      <c r="V107" s="228" t="s">
        <v>967</v>
      </c>
      <c r="W107" s="278">
        <f>X80+X81</f>
        <v>6745.7733024470172</v>
      </c>
      <c r="X107" s="280">
        <f>W107/1000</f>
        <v>6.7457733024470174</v>
      </c>
      <c r="Y107" s="228" t="s">
        <v>985</v>
      </c>
      <c r="Z107" s="278">
        <f>AA80+AA81</f>
        <v>5397.7720778404291</v>
      </c>
      <c r="AA107" s="280">
        <f>Z107/1000</f>
        <v>5.397772077840429</v>
      </c>
      <c r="AB107" s="228" t="s">
        <v>1256</v>
      </c>
      <c r="AC107" s="278">
        <f>AD80+AD81</f>
        <v>14646.734982666992</v>
      </c>
      <c r="AD107" s="280">
        <f>AC107/1000</f>
        <v>14.646734982666992</v>
      </c>
      <c r="AE107" s="228" t="s">
        <v>1257</v>
      </c>
      <c r="AF107" s="278">
        <f>AG80+AG81</f>
        <v>10898.383684924247</v>
      </c>
      <c r="AG107" s="280">
        <f>AF107/1000</f>
        <v>10.898383684924248</v>
      </c>
      <c r="AH107" s="228" t="s">
        <v>1258</v>
      </c>
      <c r="AI107" s="278">
        <f>AJ80+AJ81</f>
        <v>7431.193201537626</v>
      </c>
      <c r="AJ107" s="280">
        <f>AI107/1000</f>
        <v>7.4311932015376261</v>
      </c>
      <c r="AK107" s="343"/>
      <c r="AL107" s="813"/>
      <c r="AM107" s="463"/>
    </row>
    <row r="108" spans="3:81" ht="14.5">
      <c r="C108" s="272" t="s">
        <v>52</v>
      </c>
      <c r="D108" s="219" t="s">
        <v>1009</v>
      </c>
      <c r="E108" s="278">
        <f t="array" ref="E108:E115">F68:F75</f>
        <v>489692.26</v>
      </c>
      <c r="F108" s="280">
        <f>E108/1000</f>
        <v>489.69226000000003</v>
      </c>
      <c r="G108" s="6"/>
      <c r="H108" s="278">
        <f t="array" ref="H108:H115">I68:I75</f>
        <v>487825</v>
      </c>
      <c r="I108" s="280">
        <f>H108/1000</f>
        <v>487.82499999999999</v>
      </c>
      <c r="J108" s="228"/>
      <c r="K108" s="278">
        <f t="array" ref="K108:K115">L68:L75</f>
        <v>647184</v>
      </c>
      <c r="L108" s="280">
        <f>K108/1000</f>
        <v>647.18399999999997</v>
      </c>
      <c r="M108" s="228"/>
      <c r="N108" s="278">
        <f t="array" ref="N108:N115">O68:O75</f>
        <v>412021</v>
      </c>
      <c r="O108" s="280">
        <f>N108/1000</f>
        <v>412.02100000000002</v>
      </c>
      <c r="P108" s="228"/>
      <c r="Q108" s="278">
        <f t="array" ref="Q108:Q115">R68:R75</f>
        <v>1130552.5426280159</v>
      </c>
      <c r="R108" s="280">
        <f>Q108/1000</f>
        <v>1130.5525426280158</v>
      </c>
      <c r="S108" s="228" t="s">
        <v>412</v>
      </c>
      <c r="T108" s="278">
        <f t="array" ref="T108:T115">U68:U75</f>
        <v>1468801.705974001</v>
      </c>
      <c r="U108" s="280">
        <f>T108/1000</f>
        <v>1468.8017059740009</v>
      </c>
      <c r="V108" s="228" t="s">
        <v>967</v>
      </c>
      <c r="W108" s="278">
        <f t="array" ref="W108:W115">X68:X75</f>
        <v>1028521.5869657231</v>
      </c>
      <c r="X108" s="280">
        <f>W108/1000</f>
        <v>1028.5215869657231</v>
      </c>
      <c r="Y108" s="228" t="s">
        <v>985</v>
      </c>
      <c r="Z108" s="278">
        <f t="array" ref="Z108:Z115">AA68:AA75</f>
        <v>1306660.6873483995</v>
      </c>
      <c r="AA108" s="280">
        <f>Z108/1000</f>
        <v>1306.6606873483995</v>
      </c>
      <c r="AB108" s="228" t="s">
        <v>1256</v>
      </c>
      <c r="AC108" s="278">
        <f t="array" ref="AC108:AC115">AD68:AD75</f>
        <v>1286416.5315329654</v>
      </c>
      <c r="AD108" s="280">
        <f>AC108/1000</f>
        <v>1286.4165315329653</v>
      </c>
      <c r="AE108" s="228" t="s">
        <v>1257</v>
      </c>
      <c r="AF108" s="278">
        <f t="array" ref="AF108:AF115">AG68:AG75</f>
        <v>1657355.4253143671</v>
      </c>
      <c r="AG108" s="280">
        <f>AF108/1000</f>
        <v>1657.355425314367</v>
      </c>
      <c r="AH108" s="228" t="s">
        <v>1258</v>
      </c>
      <c r="AI108" s="278">
        <f t="array" ref="AI108:AI115">AJ68:AJ75</f>
        <v>1613368.6989196222</v>
      </c>
      <c r="AJ108" s="280">
        <f>AI108/1000</f>
        <v>1613.3686989196221</v>
      </c>
      <c r="AK108" s="343"/>
      <c r="AL108" s="813"/>
      <c r="AM108" s="463"/>
    </row>
    <row r="109" spans="3:81" ht="14.5" hidden="1" customHeight="1">
      <c r="C109" s="272" t="s">
        <v>387</v>
      </c>
      <c r="D109" s="219"/>
      <c r="E109" s="279">
        <v>0</v>
      </c>
      <c r="F109" s="280"/>
      <c r="G109" s="6"/>
      <c r="H109" s="279">
        <v>27478</v>
      </c>
      <c r="I109" s="280"/>
      <c r="J109" s="219" t="s">
        <v>18</v>
      </c>
      <c r="K109" s="279">
        <v>35854</v>
      </c>
      <c r="L109" s="280"/>
      <c r="M109" s="219" t="s">
        <v>19</v>
      </c>
      <c r="N109" s="279">
        <v>456006</v>
      </c>
      <c r="O109" s="280"/>
      <c r="P109" s="219" t="s">
        <v>20</v>
      </c>
      <c r="Q109" s="279">
        <v>84640.051552251563</v>
      </c>
      <c r="R109" s="280"/>
      <c r="S109" s="219"/>
      <c r="T109" s="279">
        <v>64417.013974605266</v>
      </c>
      <c r="U109" s="280"/>
      <c r="V109" s="219"/>
      <c r="W109" s="279">
        <v>62586.483453487883</v>
      </c>
      <c r="X109" s="280"/>
      <c r="Y109" s="219" t="s">
        <v>985</v>
      </c>
      <c r="Z109" s="279">
        <v>17486.237006771367</v>
      </c>
      <c r="AA109" s="280"/>
      <c r="AB109" s="219" t="s">
        <v>1256</v>
      </c>
      <c r="AC109" s="279">
        <v>18467.852500783825</v>
      </c>
      <c r="AD109" s="280"/>
      <c r="AE109" s="219" t="s">
        <v>1257</v>
      </c>
      <c r="AF109" s="279">
        <v>42014.182586138428</v>
      </c>
      <c r="AG109" s="280"/>
      <c r="AH109" s="219" t="s">
        <v>1258</v>
      </c>
      <c r="AI109" s="279">
        <v>27762.535113432736</v>
      </c>
      <c r="AJ109" s="280"/>
      <c r="AK109" s="346"/>
      <c r="AL109" s="464"/>
      <c r="AM109" s="463"/>
    </row>
    <row r="110" spans="3:81" ht="14.5" hidden="1" customHeight="1">
      <c r="C110" s="272" t="s">
        <v>388</v>
      </c>
      <c r="D110" s="219"/>
      <c r="E110" s="279">
        <v>0</v>
      </c>
      <c r="F110" s="280"/>
      <c r="G110" s="6"/>
      <c r="H110" s="279">
        <v>4603</v>
      </c>
      <c r="I110" s="280"/>
      <c r="J110" s="219" t="s">
        <v>18</v>
      </c>
      <c r="K110" s="279">
        <v>30738</v>
      </c>
      <c r="L110" s="280"/>
      <c r="M110" s="219" t="s">
        <v>19</v>
      </c>
      <c r="N110" s="279">
        <v>11420</v>
      </c>
      <c r="O110" s="280"/>
      <c r="P110" s="219"/>
      <c r="Q110" s="279">
        <v>8773.5849823466633</v>
      </c>
      <c r="R110" s="280"/>
      <c r="S110" s="219"/>
      <c r="T110" s="279">
        <v>22780.467360429673</v>
      </c>
      <c r="U110" s="280"/>
      <c r="V110" s="219"/>
      <c r="W110" s="279">
        <v>22699.186038205236</v>
      </c>
      <c r="X110" s="280"/>
      <c r="Y110" s="219" t="s">
        <v>985</v>
      </c>
      <c r="Z110" s="279">
        <v>42296.133933481062</v>
      </c>
      <c r="AA110" s="280"/>
      <c r="AB110" s="219" t="s">
        <v>1256</v>
      </c>
      <c r="AC110" s="279">
        <v>83119.530780318732</v>
      </c>
      <c r="AD110" s="280"/>
      <c r="AE110" s="219" t="s">
        <v>1257</v>
      </c>
      <c r="AF110" s="279">
        <v>35898.188749839443</v>
      </c>
      <c r="AG110" s="280"/>
      <c r="AH110" s="219" t="s">
        <v>1258</v>
      </c>
      <c r="AI110" s="279">
        <v>33832.959475361924</v>
      </c>
      <c r="AJ110" s="280"/>
      <c r="AK110" s="346"/>
      <c r="AL110" s="464"/>
      <c r="AM110" s="463"/>
    </row>
    <row r="111" spans="3:81" ht="14.5" hidden="1" customHeight="1">
      <c r="C111" s="272" t="s">
        <v>389</v>
      </c>
      <c r="D111" s="219"/>
      <c r="E111" s="279">
        <v>0</v>
      </c>
      <c r="F111" s="280"/>
      <c r="G111" s="6"/>
      <c r="H111" s="279">
        <v>687</v>
      </c>
      <c r="I111" s="280"/>
      <c r="J111" s="219" t="s">
        <v>18</v>
      </c>
      <c r="K111" s="279">
        <v>3898</v>
      </c>
      <c r="L111" s="280"/>
      <c r="M111" s="219" t="s">
        <v>19</v>
      </c>
      <c r="N111" s="279">
        <v>13377</v>
      </c>
      <c r="O111" s="280"/>
      <c r="P111" s="219" t="s">
        <v>20</v>
      </c>
      <c r="Q111" s="279">
        <v>19362.060440054051</v>
      </c>
      <c r="R111" s="280"/>
      <c r="S111" s="219"/>
      <c r="T111" s="279">
        <v>13937.691248165209</v>
      </c>
      <c r="U111" s="280"/>
      <c r="V111" s="219"/>
      <c r="W111" s="279">
        <v>7551.3164893569792</v>
      </c>
      <c r="X111" s="280"/>
      <c r="Y111" s="219" t="s">
        <v>985</v>
      </c>
      <c r="Z111" s="279">
        <v>7556.4412278116242</v>
      </c>
      <c r="AA111" s="280"/>
      <c r="AB111" s="219" t="s">
        <v>1256</v>
      </c>
      <c r="AC111" s="279">
        <v>5474.6167005439693</v>
      </c>
      <c r="AD111" s="280"/>
      <c r="AE111" s="219" t="s">
        <v>1257</v>
      </c>
      <c r="AF111" s="279">
        <v>6915.1170030414287</v>
      </c>
      <c r="AG111" s="280"/>
      <c r="AH111" s="219" t="s">
        <v>1258</v>
      </c>
      <c r="AI111" s="279">
        <v>5618.7013118399227</v>
      </c>
      <c r="AJ111" s="280"/>
      <c r="AK111" s="346"/>
      <c r="AL111" s="464"/>
      <c r="AM111" s="463"/>
    </row>
    <row r="112" spans="3:81" ht="14.5" hidden="1" customHeight="1">
      <c r="C112" s="272" t="s">
        <v>390</v>
      </c>
      <c r="D112" s="219"/>
      <c r="E112" s="279">
        <v>67696.149999999994</v>
      </c>
      <c r="F112" s="280"/>
      <c r="G112" s="6"/>
      <c r="H112" s="279">
        <v>46068</v>
      </c>
      <c r="I112" s="280"/>
      <c r="J112" s="219" t="s">
        <v>18</v>
      </c>
      <c r="K112" s="279">
        <v>34839</v>
      </c>
      <c r="L112" s="280"/>
      <c r="M112" s="219" t="s">
        <v>19</v>
      </c>
      <c r="N112" s="279">
        <v>17125</v>
      </c>
      <c r="O112" s="280"/>
      <c r="P112" s="219" t="s">
        <v>20</v>
      </c>
      <c r="Q112" s="279">
        <v>8682.668399507882</v>
      </c>
      <c r="R112" s="280"/>
      <c r="S112" s="219"/>
      <c r="T112" s="279">
        <v>17057.902897765904</v>
      </c>
      <c r="U112" s="280"/>
      <c r="V112" s="219"/>
      <c r="W112" s="279">
        <v>7912.0672232830302</v>
      </c>
      <c r="X112" s="280"/>
      <c r="Y112" s="219" t="s">
        <v>985</v>
      </c>
      <c r="Z112" s="279">
        <v>7355.1166453500555</v>
      </c>
      <c r="AA112" s="280"/>
      <c r="AB112" s="219" t="s">
        <v>1256</v>
      </c>
      <c r="AC112" s="279">
        <v>15911.221471612143</v>
      </c>
      <c r="AD112" s="280"/>
      <c r="AE112" s="219" t="s">
        <v>1257</v>
      </c>
      <c r="AF112" s="279">
        <v>22034.519241355527</v>
      </c>
      <c r="AG112" s="280"/>
      <c r="AH112" s="219" t="s">
        <v>1258</v>
      </c>
      <c r="AI112" s="279">
        <v>10290.953890283423</v>
      </c>
      <c r="AJ112" s="280"/>
      <c r="AK112" s="346"/>
      <c r="AL112" s="464"/>
      <c r="AM112" s="463"/>
    </row>
    <row r="113" spans="2:81" ht="14.5" hidden="1" customHeight="1">
      <c r="C113" s="272" t="s">
        <v>391</v>
      </c>
      <c r="D113" s="219"/>
      <c r="E113" s="279">
        <v>0</v>
      </c>
      <c r="F113" s="280"/>
      <c r="G113" s="6"/>
      <c r="H113" s="279">
        <v>26145</v>
      </c>
      <c r="I113" s="280"/>
      <c r="J113" s="219" t="s">
        <v>18</v>
      </c>
      <c r="K113" s="279">
        <v>15750</v>
      </c>
      <c r="L113" s="280"/>
      <c r="M113" s="219" t="s">
        <v>19</v>
      </c>
      <c r="N113" s="279">
        <v>20422</v>
      </c>
      <c r="O113" s="280"/>
      <c r="P113" s="219" t="s">
        <v>20</v>
      </c>
      <c r="Q113" s="279">
        <v>4896.7510561045492</v>
      </c>
      <c r="R113" s="280"/>
      <c r="S113" s="219"/>
      <c r="T113" s="279">
        <v>5649.9836027333176</v>
      </c>
      <c r="U113" s="280"/>
      <c r="V113" s="219"/>
      <c r="W113" s="279">
        <v>797.86347094228154</v>
      </c>
      <c r="X113" s="280"/>
      <c r="Y113" s="219" t="s">
        <v>985</v>
      </c>
      <c r="Z113" s="279">
        <v>122.76858541430251</v>
      </c>
      <c r="AA113" s="280"/>
      <c r="AB113" s="219" t="s">
        <v>1256</v>
      </c>
      <c r="AC113" s="279">
        <v>147.71108071461154</v>
      </c>
      <c r="AD113" s="280"/>
      <c r="AE113" s="219" t="s">
        <v>1257</v>
      </c>
      <c r="AF113" s="279">
        <v>369.62463074679778</v>
      </c>
      <c r="AG113" s="280"/>
      <c r="AH113" s="219" t="s">
        <v>1258</v>
      </c>
      <c r="AI113" s="279">
        <v>1123.1756228018371</v>
      </c>
      <c r="AJ113" s="280"/>
      <c r="AK113" s="346"/>
      <c r="AL113" s="464"/>
      <c r="AM113" s="463"/>
    </row>
    <row r="114" spans="2:81" ht="14.5" hidden="1" customHeight="1">
      <c r="C114" s="272" t="s">
        <v>392</v>
      </c>
      <c r="D114" s="219"/>
      <c r="E114" s="279">
        <v>55514.74</v>
      </c>
      <c r="F114" s="280"/>
      <c r="G114" s="6"/>
      <c r="H114" s="279">
        <v>32543</v>
      </c>
      <c r="I114" s="280"/>
      <c r="J114" s="219" t="s">
        <v>18</v>
      </c>
      <c r="K114" s="279">
        <v>50320</v>
      </c>
      <c r="L114" s="280"/>
      <c r="M114" s="219" t="s">
        <v>19</v>
      </c>
      <c r="N114" s="279">
        <v>34557</v>
      </c>
      <c r="O114" s="280"/>
      <c r="P114" s="219" t="s">
        <v>20</v>
      </c>
      <c r="Q114" s="279">
        <v>50270.320970823566</v>
      </c>
      <c r="R114" s="280"/>
      <c r="S114" s="219"/>
      <c r="T114" s="279">
        <v>55358.32771415259</v>
      </c>
      <c r="U114" s="280"/>
      <c r="V114" s="219"/>
      <c r="W114" s="279">
        <v>61955.655529748001</v>
      </c>
      <c r="X114" s="280"/>
      <c r="Y114" s="219" t="s">
        <v>985</v>
      </c>
      <c r="Z114" s="279">
        <v>65948.035781278755</v>
      </c>
      <c r="AA114" s="280"/>
      <c r="AB114" s="219" t="s">
        <v>1256</v>
      </c>
      <c r="AC114" s="279">
        <v>52169.960776070111</v>
      </c>
      <c r="AD114" s="280"/>
      <c r="AE114" s="219" t="s">
        <v>1257</v>
      </c>
      <c r="AF114" s="279">
        <v>81666.917846271084</v>
      </c>
      <c r="AG114" s="280"/>
      <c r="AH114" s="219" t="s">
        <v>1258</v>
      </c>
      <c r="AI114" s="279">
        <v>40052.847999289661</v>
      </c>
      <c r="AJ114" s="280"/>
      <c r="AK114" s="346"/>
      <c r="AL114" s="464"/>
      <c r="AM114" s="463"/>
    </row>
    <row r="115" spans="2:81" ht="14.5" hidden="1" customHeight="1">
      <c r="C115" s="272" t="s">
        <v>393</v>
      </c>
      <c r="D115" s="219"/>
      <c r="E115" s="279">
        <v>0</v>
      </c>
      <c r="F115" s="280"/>
      <c r="G115" s="6"/>
      <c r="H115" s="279">
        <v>10626</v>
      </c>
      <c r="I115" s="280"/>
      <c r="J115" s="219" t="s">
        <v>18</v>
      </c>
      <c r="K115" s="279">
        <v>16458</v>
      </c>
      <c r="L115" s="280"/>
      <c r="M115" s="219" t="s">
        <v>19</v>
      </c>
      <c r="N115" s="279">
        <v>19168</v>
      </c>
      <c r="O115" s="280"/>
      <c r="P115" s="219" t="s">
        <v>20</v>
      </c>
      <c r="Q115" s="279">
        <v>22354.112553666298</v>
      </c>
      <c r="R115" s="280"/>
      <c r="S115" s="219"/>
      <c r="T115" s="279">
        <v>19700.830833515938</v>
      </c>
      <c r="U115" s="280"/>
      <c r="V115" s="219"/>
      <c r="W115" s="279">
        <v>7050.7048990252815</v>
      </c>
      <c r="X115" s="280"/>
      <c r="Y115" s="219"/>
      <c r="Z115" s="279">
        <v>1840.4696256115521</v>
      </c>
      <c r="AA115" s="280"/>
      <c r="AB115" s="219"/>
      <c r="AC115" s="279">
        <v>1571.4790680192204</v>
      </c>
      <c r="AD115" s="280"/>
      <c r="AE115" s="219"/>
      <c r="AF115" s="279">
        <v>3151.1676502740311</v>
      </c>
      <c r="AG115" s="280"/>
      <c r="AH115" s="219"/>
      <c r="AI115" s="279">
        <v>4347.1244016152741</v>
      </c>
      <c r="AJ115" s="280"/>
      <c r="AK115" s="346"/>
      <c r="AL115" s="464"/>
      <c r="AM115" s="463"/>
    </row>
    <row r="116" spans="2:81" ht="14.5" hidden="1" customHeight="1">
      <c r="C116" s="272" t="s">
        <v>394</v>
      </c>
      <c r="D116" s="219"/>
      <c r="E116" s="279"/>
      <c r="F116" s="280"/>
      <c r="G116" s="6"/>
      <c r="H116" s="279"/>
      <c r="I116" s="280"/>
      <c r="J116" s="219" t="s">
        <v>18</v>
      </c>
      <c r="K116" s="279"/>
      <c r="L116" s="280"/>
      <c r="M116" s="219" t="s">
        <v>19</v>
      </c>
      <c r="N116" s="279"/>
      <c r="O116" s="280"/>
      <c r="P116" s="219" t="s">
        <v>20</v>
      </c>
      <c r="Q116" s="279"/>
      <c r="R116" s="280"/>
      <c r="S116" s="219"/>
      <c r="T116" s="279"/>
      <c r="U116" s="280"/>
      <c r="V116" s="219"/>
      <c r="W116" s="279"/>
      <c r="X116" s="280"/>
      <c r="Y116" s="219"/>
      <c r="Z116" s="279"/>
      <c r="AA116" s="280"/>
      <c r="AB116" s="219"/>
      <c r="AC116" s="279"/>
      <c r="AD116" s="280"/>
      <c r="AE116" s="219"/>
      <c r="AF116" s="279"/>
      <c r="AG116" s="280"/>
      <c r="AH116" s="219"/>
      <c r="AI116" s="279"/>
      <c r="AJ116" s="280"/>
      <c r="AK116" s="346"/>
      <c r="AL116" s="464"/>
      <c r="AM116" s="463"/>
    </row>
    <row r="117" spans="2:81" ht="14.5">
      <c r="C117" s="272" t="s">
        <v>53</v>
      </c>
      <c r="D117" s="219" t="s">
        <v>1009</v>
      </c>
      <c r="E117" s="278">
        <f>F64+F65</f>
        <v>1290518.29</v>
      </c>
      <c r="F117" s="280">
        <f>E117/1000</f>
        <v>1290.51829</v>
      </c>
      <c r="G117" s="6"/>
      <c r="H117" s="278">
        <f>I64+I65</f>
        <v>1246634</v>
      </c>
      <c r="I117" s="280">
        <f>H117/1000</f>
        <v>1246.634</v>
      </c>
      <c r="J117" s="228"/>
      <c r="K117" s="278">
        <f>L64+L65</f>
        <v>1501238</v>
      </c>
      <c r="L117" s="280">
        <f>K117/1000</f>
        <v>1501.2380000000001</v>
      </c>
      <c r="M117" s="228"/>
      <c r="N117" s="278">
        <f>O64+O65</f>
        <v>1706193</v>
      </c>
      <c r="O117" s="280">
        <f>N117/1000</f>
        <v>1706.193</v>
      </c>
      <c r="P117" s="228"/>
      <c r="Q117" s="278">
        <f>R64+R65</f>
        <v>1565535.2792101367</v>
      </c>
      <c r="R117" s="280">
        <f>Q117/1000</f>
        <v>1565.5352792101367</v>
      </c>
      <c r="S117" s="228" t="s">
        <v>412</v>
      </c>
      <c r="T117" s="278">
        <f>U64+U65</f>
        <v>1379953.5910790721</v>
      </c>
      <c r="U117" s="280">
        <f>T117/1000</f>
        <v>1379.9535910790721</v>
      </c>
      <c r="V117" s="228" t="s">
        <v>967</v>
      </c>
      <c r="W117" s="278">
        <f>X64+X65</f>
        <v>1534537.14876418</v>
      </c>
      <c r="X117" s="280">
        <f>W117/1000</f>
        <v>1534.5371487641801</v>
      </c>
      <c r="Y117" s="228" t="s">
        <v>985</v>
      </c>
      <c r="Z117" s="278">
        <f>AA64+AA65</f>
        <v>1350092.7077205775</v>
      </c>
      <c r="AA117" s="280">
        <f>Z117/1000</f>
        <v>1350.0927077205774</v>
      </c>
      <c r="AB117" s="228" t="s">
        <v>1256</v>
      </c>
      <c r="AC117" s="278">
        <f>AD64+AD65</f>
        <v>1336501.83729319</v>
      </c>
      <c r="AD117" s="280">
        <f>AC117/1000</f>
        <v>1336.50183729319</v>
      </c>
      <c r="AE117" s="228" t="s">
        <v>1257</v>
      </c>
      <c r="AF117" s="278">
        <f>AG64+AG65</f>
        <v>1504213.618028248</v>
      </c>
      <c r="AG117" s="280">
        <f>AF117/1000</f>
        <v>1504.213618028248</v>
      </c>
      <c r="AH117" s="228" t="s">
        <v>1258</v>
      </c>
      <c r="AI117" s="278">
        <f>AJ64+AJ65</f>
        <v>1561271.303037768</v>
      </c>
      <c r="AJ117" s="280">
        <f>AI117/1000</f>
        <v>1561.2713030377679</v>
      </c>
      <c r="AK117" s="343"/>
      <c r="AL117" s="813"/>
      <c r="AM117" s="463"/>
    </row>
    <row r="118" spans="2:81" ht="14.5" hidden="1">
      <c r="C118" s="244" t="s">
        <v>395</v>
      </c>
      <c r="D118" s="219"/>
      <c r="E118" s="279"/>
      <c r="F118" s="280"/>
      <c r="G118" s="232"/>
      <c r="H118" s="251">
        <v>0</v>
      </c>
      <c r="I118" s="280"/>
      <c r="J118" s="219"/>
      <c r="K118" s="279">
        <v>0</v>
      </c>
      <c r="L118" s="280"/>
      <c r="M118" s="219"/>
      <c r="N118" s="279">
        <v>0</v>
      </c>
      <c r="O118" s="280"/>
      <c r="P118" s="219"/>
      <c r="Q118" s="279">
        <v>0</v>
      </c>
      <c r="R118" s="280"/>
      <c r="S118" s="219"/>
      <c r="T118" s="279"/>
      <c r="U118" s="280"/>
      <c r="V118" s="219"/>
      <c r="W118" s="279"/>
      <c r="X118" s="280"/>
      <c r="Y118" s="219"/>
      <c r="Z118" s="279"/>
      <c r="AA118" s="280"/>
      <c r="AB118" s="219"/>
      <c r="AC118" s="279"/>
      <c r="AD118" s="280"/>
      <c r="AE118" s="219"/>
      <c r="AF118" s="279"/>
      <c r="AG118" s="280"/>
      <c r="AH118" s="219"/>
      <c r="AI118" s="279"/>
      <c r="AJ118" s="280"/>
      <c r="AK118" s="346"/>
      <c r="AL118" s="464"/>
      <c r="AM118" s="463"/>
    </row>
    <row r="119" spans="2:81" ht="14.5" hidden="1">
      <c r="C119" s="247" t="s">
        <v>396</v>
      </c>
      <c r="D119" s="228"/>
      <c r="E119" s="279"/>
      <c r="F119" s="280"/>
      <c r="G119" s="231"/>
      <c r="H119" s="251">
        <v>0</v>
      </c>
      <c r="I119" s="280"/>
      <c r="J119" s="228"/>
      <c r="K119" s="279">
        <v>0</v>
      </c>
      <c r="L119" s="280"/>
      <c r="M119" s="228"/>
      <c r="N119" s="279">
        <v>0</v>
      </c>
      <c r="O119" s="280"/>
      <c r="P119" s="228"/>
      <c r="Q119" s="279">
        <v>0</v>
      </c>
      <c r="R119" s="280"/>
      <c r="S119" s="228"/>
      <c r="T119" s="279"/>
      <c r="U119" s="280"/>
      <c r="V119" s="228"/>
      <c r="W119" s="279"/>
      <c r="X119" s="280"/>
      <c r="Y119" s="228"/>
      <c r="Z119" s="279"/>
      <c r="AA119" s="280"/>
      <c r="AB119" s="228"/>
      <c r="AC119" s="279"/>
      <c r="AD119" s="280"/>
      <c r="AE119" s="228"/>
      <c r="AF119" s="279"/>
      <c r="AG119" s="280"/>
      <c r="AH119" s="228"/>
      <c r="AI119" s="279"/>
      <c r="AJ119" s="280"/>
      <c r="AK119" s="343"/>
      <c r="AL119" s="464"/>
      <c r="AM119" s="463"/>
    </row>
    <row r="120" spans="2:81" ht="14.5">
      <c r="C120" s="247" t="s">
        <v>397</v>
      </c>
      <c r="D120" s="219" t="s">
        <v>1009</v>
      </c>
      <c r="E120" s="256">
        <v>3960043.61</v>
      </c>
      <c r="F120" s="280">
        <f>E120/1000</f>
        <v>3960.0436099999997</v>
      </c>
      <c r="G120" s="6"/>
      <c r="H120" s="279"/>
      <c r="I120" s="280">
        <f>H120/1000</f>
        <v>0</v>
      </c>
      <c r="J120" s="219" t="s">
        <v>398</v>
      </c>
      <c r="K120" s="256">
        <v>6995613</v>
      </c>
      <c r="L120" s="280">
        <f>K120/1000</f>
        <v>6995.6130000000003</v>
      </c>
      <c r="M120" s="219" t="s">
        <v>399</v>
      </c>
      <c r="N120" s="279">
        <v>8347182</v>
      </c>
      <c r="O120" s="280">
        <f>N120/1000</f>
        <v>8347.1820000000007</v>
      </c>
      <c r="P120" s="219" t="s">
        <v>400</v>
      </c>
      <c r="Q120" s="279">
        <v>7378921.7062084796</v>
      </c>
      <c r="R120" s="280">
        <f>Q120/1000</f>
        <v>7378.9217062084799</v>
      </c>
      <c r="S120" s="219" t="s">
        <v>412</v>
      </c>
      <c r="T120" s="251">
        <v>8251306</v>
      </c>
      <c r="U120" s="814">
        <f>T120/1000</f>
        <v>8251.3060000000005</v>
      </c>
      <c r="V120" s="216" t="s">
        <v>967</v>
      </c>
      <c r="W120" s="251">
        <v>8661609.2698886879</v>
      </c>
      <c r="X120" s="814">
        <f>W120/1000</f>
        <v>8661.6092698886878</v>
      </c>
      <c r="Y120" s="216" t="s">
        <v>985</v>
      </c>
      <c r="Z120" s="251">
        <v>7840634.5575351408</v>
      </c>
      <c r="AA120" s="814">
        <f>Z120/1000</f>
        <v>7840.6345575351406</v>
      </c>
      <c r="AB120" s="216" t="s">
        <v>1256</v>
      </c>
      <c r="AC120" s="251">
        <v>11390244.840796789</v>
      </c>
      <c r="AD120" s="280">
        <f>AC120/1000</f>
        <v>11390.24484079679</v>
      </c>
      <c r="AE120" s="228" t="s">
        <v>1257</v>
      </c>
      <c r="AF120" s="251">
        <v>11671699.775208281</v>
      </c>
      <c r="AG120" s="280">
        <f>AF120/1000</f>
        <v>11671.699775208281</v>
      </c>
      <c r="AH120" s="228" t="s">
        <v>1258</v>
      </c>
      <c r="AI120" s="251">
        <v>8113293.4027375858</v>
      </c>
      <c r="AJ120" s="280">
        <f>AI120/1000</f>
        <v>8113.2934027375859</v>
      </c>
      <c r="AK120" s="343"/>
      <c r="AL120" s="464"/>
      <c r="AM120" s="463"/>
    </row>
    <row r="121" spans="2:81" ht="14.5" hidden="1">
      <c r="C121" s="247" t="s">
        <v>401</v>
      </c>
      <c r="D121" s="228"/>
      <c r="E121" s="279"/>
      <c r="F121" s="280"/>
      <c r="G121" s="228"/>
      <c r="H121" s="279"/>
      <c r="I121" s="280"/>
      <c r="J121" s="228"/>
      <c r="K121" s="279"/>
      <c r="L121" s="280"/>
      <c r="M121" s="228"/>
      <c r="N121" s="279">
        <v>0</v>
      </c>
      <c r="O121" s="280"/>
      <c r="P121" s="228"/>
      <c r="Q121" s="279">
        <v>0</v>
      </c>
      <c r="R121" s="280"/>
      <c r="S121" s="228"/>
      <c r="T121" s="279"/>
      <c r="U121" s="280"/>
      <c r="V121" s="228"/>
      <c r="W121" s="279"/>
      <c r="X121" s="280"/>
      <c r="Y121" s="228"/>
      <c r="Z121" s="279"/>
      <c r="AA121" s="280"/>
      <c r="AB121" s="228"/>
      <c r="AC121" s="279"/>
      <c r="AD121" s="280"/>
      <c r="AE121" s="228"/>
      <c r="AF121" s="279"/>
      <c r="AG121" s="280"/>
      <c r="AH121" s="228"/>
      <c r="AI121" s="279"/>
      <c r="AJ121" s="280"/>
      <c r="AK121" s="343"/>
      <c r="AL121" s="464"/>
      <c r="AM121" s="463"/>
    </row>
    <row r="122" spans="2:81" ht="14.5" hidden="1">
      <c r="C122" s="244" t="s">
        <v>402</v>
      </c>
      <c r="D122" s="233"/>
      <c r="E122" s="256"/>
      <c r="F122" s="280"/>
      <c r="G122" s="233"/>
      <c r="H122" s="256"/>
      <c r="I122" s="280"/>
      <c r="J122" s="233"/>
      <c r="K122" s="256"/>
      <c r="L122" s="280"/>
      <c r="M122" s="233"/>
      <c r="N122" s="279"/>
      <c r="O122" s="280"/>
      <c r="P122" s="233"/>
      <c r="Q122" s="256">
        <v>0</v>
      </c>
      <c r="R122" s="280"/>
      <c r="S122" s="233"/>
      <c r="T122" s="256"/>
      <c r="U122" s="280"/>
      <c r="V122" s="233"/>
      <c r="W122" s="256"/>
      <c r="X122" s="280"/>
      <c r="Y122" s="233"/>
      <c r="Z122" s="256"/>
      <c r="AA122" s="280"/>
      <c r="AB122" s="233"/>
      <c r="AC122" s="256"/>
      <c r="AD122" s="280"/>
      <c r="AE122" s="233"/>
      <c r="AF122" s="256"/>
      <c r="AG122" s="280"/>
      <c r="AH122" s="233"/>
      <c r="AI122" s="256"/>
      <c r="AJ122" s="280"/>
      <c r="AK122" s="462"/>
      <c r="AL122" s="342"/>
      <c r="AM122" s="463"/>
    </row>
    <row r="123" spans="2:81" ht="14.5">
      <c r="C123" s="461"/>
      <c r="D123" s="462"/>
      <c r="E123" s="342"/>
      <c r="F123" s="463"/>
      <c r="G123" s="462"/>
      <c r="H123" s="342"/>
      <c r="I123" s="463"/>
      <c r="J123" s="462"/>
      <c r="K123" s="342"/>
      <c r="L123" s="463"/>
      <c r="M123" s="462"/>
      <c r="N123" s="464"/>
      <c r="O123" s="463"/>
      <c r="P123" s="462"/>
      <c r="Q123" s="342"/>
      <c r="R123" s="463"/>
      <c r="S123" s="462"/>
      <c r="T123" s="342"/>
      <c r="U123" s="463"/>
      <c r="V123" s="462"/>
      <c r="W123" s="342"/>
      <c r="X123" s="342"/>
    </row>
    <row r="124" spans="2:81">
      <c r="C124"/>
      <c r="D124"/>
      <c r="E124"/>
      <c r="F124"/>
      <c r="G124"/>
      <c r="H124"/>
      <c r="I124"/>
      <c r="J124"/>
      <c r="K124"/>
      <c r="L124"/>
      <c r="M124"/>
      <c r="N124"/>
      <c r="O124"/>
      <c r="P124"/>
      <c r="Q124"/>
      <c r="R124"/>
      <c r="S124"/>
      <c r="T124"/>
      <c r="U124"/>
      <c r="V124"/>
      <c r="W124"/>
      <c r="X124"/>
      <c r="Y124"/>
    </row>
    <row r="125" spans="2:81" ht="18.5">
      <c r="B125"/>
      <c r="C125" s="234" t="s">
        <v>0</v>
      </c>
      <c r="D125" s="2587" t="s">
        <v>1386</v>
      </c>
      <c r="E125" s="2588"/>
      <c r="F125" s="2588"/>
      <c r="G125" s="2588"/>
      <c r="H125" s="2588"/>
      <c r="I125" s="2588"/>
      <c r="J125" s="2588"/>
      <c r="K125" s="2588"/>
      <c r="L125" s="2588"/>
      <c r="M125" s="2588"/>
      <c r="N125" s="2588"/>
      <c r="O125" s="2588"/>
      <c r="P125" s="2589"/>
      <c r="Q125" s="348"/>
      <c r="R125" s="348"/>
      <c r="S125" s="348"/>
      <c r="T125" s="348"/>
      <c r="U125" s="348"/>
      <c r="V125" s="348"/>
      <c r="W125" s="348"/>
      <c r="X125"/>
      <c r="Y125"/>
      <c r="Z125"/>
      <c r="AA125"/>
      <c r="AB125"/>
      <c r="AC125"/>
      <c r="AD125"/>
      <c r="AE125" s="559"/>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row>
    <row r="126" spans="2:81" ht="14.5">
      <c r="B126"/>
      <c r="C126" s="2543" t="s">
        <v>698</v>
      </c>
      <c r="D126" s="2543">
        <v>1994</v>
      </c>
      <c r="E126" s="2543"/>
      <c r="F126" s="2543">
        <v>2000</v>
      </c>
      <c r="G126" s="2543"/>
      <c r="H126" s="2543">
        <v>2006</v>
      </c>
      <c r="I126" s="2543"/>
      <c r="J126" s="2543">
        <v>2010</v>
      </c>
      <c r="K126" s="2543"/>
      <c r="L126" s="2543">
        <v>2012</v>
      </c>
      <c r="M126" s="2543"/>
      <c r="N126" s="2543">
        <v>2014</v>
      </c>
      <c r="O126" s="2543"/>
      <c r="P126" s="2543">
        <v>2016</v>
      </c>
      <c r="Q126" s="2543"/>
      <c r="R126" s="2543">
        <v>2018</v>
      </c>
      <c r="S126" s="2543"/>
      <c r="T126" s="2543">
        <v>2020</v>
      </c>
      <c r="U126" s="2543"/>
      <c r="V126" s="2543">
        <v>2021</v>
      </c>
      <c r="W126" s="2543"/>
      <c r="X126" s="2543">
        <v>2022</v>
      </c>
      <c r="Y126" s="2543"/>
      <c r="Z126"/>
      <c r="AA126"/>
      <c r="AB126"/>
      <c r="AC126"/>
      <c r="AD126"/>
      <c r="AE126" s="559"/>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row>
    <row r="127" spans="2:81" ht="15" thickBot="1">
      <c r="B127"/>
      <c r="C127" s="2543"/>
      <c r="D127" s="235" t="s">
        <v>3</v>
      </c>
      <c r="E127" s="235" t="s">
        <v>700</v>
      </c>
      <c r="F127" s="235" t="s">
        <v>3</v>
      </c>
      <c r="G127" s="235" t="s">
        <v>700</v>
      </c>
      <c r="H127" s="235" t="s">
        <v>3</v>
      </c>
      <c r="I127" s="235" t="s">
        <v>700</v>
      </c>
      <c r="J127" s="235" t="s">
        <v>3</v>
      </c>
      <c r="K127" s="235" t="s">
        <v>700</v>
      </c>
      <c r="L127" s="235" t="s">
        <v>3</v>
      </c>
      <c r="M127" s="235" t="s">
        <v>700</v>
      </c>
      <c r="N127" s="235" t="s">
        <v>3</v>
      </c>
      <c r="O127" s="235" t="s">
        <v>700</v>
      </c>
      <c r="P127" s="235" t="s">
        <v>3</v>
      </c>
      <c r="Q127" s="235" t="s">
        <v>700</v>
      </c>
      <c r="R127" s="235" t="s">
        <v>3</v>
      </c>
      <c r="S127" s="235" t="s">
        <v>700</v>
      </c>
      <c r="T127" s="235" t="s">
        <v>3</v>
      </c>
      <c r="U127" s="235" t="s">
        <v>700</v>
      </c>
      <c r="V127" s="235" t="s">
        <v>3</v>
      </c>
      <c r="W127" s="235" t="s">
        <v>700</v>
      </c>
      <c r="X127" s="235" t="s">
        <v>3</v>
      </c>
      <c r="Y127" s="235" t="s">
        <v>700</v>
      </c>
      <c r="Z127"/>
      <c r="AA127"/>
      <c r="AB127"/>
      <c r="AC127"/>
      <c r="AD127"/>
      <c r="AE127" s="559"/>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row>
    <row r="128" spans="2:81" ht="15.5" thickTop="1" thickBot="1">
      <c r="B128"/>
      <c r="C128" s="470" t="s">
        <v>51</v>
      </c>
      <c r="D128" s="215" t="s">
        <v>1010</v>
      </c>
      <c r="E128" s="239">
        <v>19539.812610303696</v>
      </c>
      <c r="F128" s="215" t="s">
        <v>1011</v>
      </c>
      <c r="G128" s="239">
        <v>14258.73042466335</v>
      </c>
      <c r="H128" s="215" t="s">
        <v>1012</v>
      </c>
      <c r="I128" s="239">
        <v>9747</v>
      </c>
      <c r="J128" s="216" t="s">
        <v>1013</v>
      </c>
      <c r="K128" s="240">
        <v>8533</v>
      </c>
      <c r="L128" s="216" t="s">
        <v>1014</v>
      </c>
      <c r="M128" s="240">
        <v>9590.5072978239277</v>
      </c>
      <c r="N128" s="268" t="s">
        <v>412</v>
      </c>
      <c r="O128" s="731">
        <v>6166.6427755981613</v>
      </c>
      <c r="P128" s="268" t="s">
        <v>967</v>
      </c>
      <c r="Q128" s="731">
        <v>4618.6799316729894</v>
      </c>
      <c r="R128" s="268" t="s">
        <v>985</v>
      </c>
      <c r="S128" s="731">
        <v>3335.5846240137944</v>
      </c>
      <c r="T128" s="268" t="s">
        <v>1256</v>
      </c>
      <c r="U128" s="731">
        <v>6880.3692589903058</v>
      </c>
      <c r="V128" s="268" t="s">
        <v>1257</v>
      </c>
      <c r="W128" s="731">
        <v>6201.7978961125164</v>
      </c>
      <c r="X128" s="268" t="s">
        <v>1258</v>
      </c>
      <c r="Y128" s="731">
        <v>4510.3429403837754</v>
      </c>
      <c r="Z128"/>
      <c r="AA128"/>
      <c r="AB128"/>
      <c r="AC128"/>
      <c r="AD128"/>
      <c r="AE128" s="559"/>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row>
    <row r="129" spans="2:81" ht="15.5" thickTop="1" thickBot="1">
      <c r="B129"/>
      <c r="C129" s="470" t="s">
        <v>52</v>
      </c>
      <c r="D129" s="215" t="s">
        <v>1010</v>
      </c>
      <c r="E129" s="239">
        <v>394292.26407307386</v>
      </c>
      <c r="F129" s="215" t="s">
        <v>1011</v>
      </c>
      <c r="G129" s="239">
        <v>394372.86664735159</v>
      </c>
      <c r="H129" s="215" t="s">
        <v>1012</v>
      </c>
      <c r="I129" s="239">
        <v>438807</v>
      </c>
      <c r="J129" s="216" t="s">
        <v>1013</v>
      </c>
      <c r="K129" s="240">
        <v>440346</v>
      </c>
      <c r="L129" s="216" t="s">
        <v>1014</v>
      </c>
      <c r="M129" s="240">
        <v>532002.95078599919</v>
      </c>
      <c r="N129" s="216" t="s">
        <v>412</v>
      </c>
      <c r="O129" s="731">
        <v>513356.03528638819</v>
      </c>
      <c r="P129" s="216" t="s">
        <v>967</v>
      </c>
      <c r="Q129" s="731">
        <v>425736.71265897393</v>
      </c>
      <c r="R129" s="216" t="s">
        <v>985</v>
      </c>
      <c r="S129" s="731">
        <v>461546.98060501728</v>
      </c>
      <c r="T129" s="216" t="s">
        <v>1256</v>
      </c>
      <c r="U129" s="731">
        <v>444681.13122688094</v>
      </c>
      <c r="V129" s="216" t="s">
        <v>1257</v>
      </c>
      <c r="W129" s="731">
        <v>453717.57926273666</v>
      </c>
      <c r="X129" s="216" t="s">
        <v>1258</v>
      </c>
      <c r="Y129" s="731">
        <v>433216.27766822086</v>
      </c>
      <c r="Z129"/>
      <c r="AA129"/>
      <c r="AB129"/>
      <c r="AC129"/>
      <c r="AD129"/>
      <c r="AE129" s="55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row>
    <row r="130" spans="2:81" ht="15.5" thickTop="1" thickBot="1">
      <c r="B130"/>
      <c r="C130" s="470" t="s">
        <v>53</v>
      </c>
      <c r="D130" s="215" t="s">
        <v>1010</v>
      </c>
      <c r="E130" s="239">
        <v>336355.80714679806</v>
      </c>
      <c r="F130" s="215" t="s">
        <v>1011</v>
      </c>
      <c r="G130" s="239">
        <v>328970.97579231358</v>
      </c>
      <c r="H130" s="215" t="s">
        <v>1012</v>
      </c>
      <c r="I130" s="239">
        <v>357558</v>
      </c>
      <c r="J130" s="216" t="s">
        <v>1013</v>
      </c>
      <c r="K130" s="240">
        <v>393137</v>
      </c>
      <c r="L130" s="216" t="s">
        <v>1014</v>
      </c>
      <c r="M130" s="240">
        <v>411458.6373792708</v>
      </c>
      <c r="N130" s="268" t="s">
        <v>412</v>
      </c>
      <c r="O130" s="731">
        <v>375819.90640568204</v>
      </c>
      <c r="P130" s="268" t="s">
        <v>967</v>
      </c>
      <c r="Q130" s="731">
        <v>385039.49453025428</v>
      </c>
      <c r="R130" s="268" t="s">
        <v>985</v>
      </c>
      <c r="S130" s="731">
        <v>301852.99847142101</v>
      </c>
      <c r="T130" s="268" t="s">
        <v>1256</v>
      </c>
      <c r="U130" s="731">
        <v>315023.03738631884</v>
      </c>
      <c r="V130" s="268" t="s">
        <v>1257</v>
      </c>
      <c r="W130" s="731">
        <v>342967.0842437534</v>
      </c>
      <c r="X130" s="268" t="s">
        <v>1258</v>
      </c>
      <c r="Y130" s="731">
        <v>343061.40916261711</v>
      </c>
      <c r="Z130"/>
      <c r="AA130"/>
      <c r="AB130"/>
      <c r="AC130"/>
      <c r="AD130"/>
      <c r="AE130" s="559"/>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row>
    <row r="131" spans="2:81" ht="15.5" thickTop="1" thickBot="1">
      <c r="B131"/>
      <c r="C131" s="470" t="s">
        <v>187</v>
      </c>
      <c r="D131" s="215" t="s">
        <v>1010</v>
      </c>
      <c r="E131" s="239">
        <v>50163.301078376768</v>
      </c>
      <c r="F131" s="215" t="s">
        <v>1011</v>
      </c>
      <c r="G131" s="239">
        <v>43301.894081075079</v>
      </c>
      <c r="H131" s="215" t="s">
        <v>1012</v>
      </c>
      <c r="I131" s="239">
        <v>37379</v>
      </c>
      <c r="J131" s="216" t="s">
        <v>1013</v>
      </c>
      <c r="K131" s="240">
        <v>26374</v>
      </c>
      <c r="L131" s="216" t="s">
        <v>1014</v>
      </c>
      <c r="M131" s="240">
        <v>20824.367949442192</v>
      </c>
      <c r="N131" s="216" t="s">
        <v>412</v>
      </c>
      <c r="O131" s="731">
        <v>16346.285231764312</v>
      </c>
      <c r="P131" s="216" t="s">
        <v>967</v>
      </c>
      <c r="Q131" s="731">
        <v>18987.735606563092</v>
      </c>
      <c r="R131" s="216" t="s">
        <v>985</v>
      </c>
      <c r="S131" s="731">
        <v>10124.285951074651</v>
      </c>
      <c r="T131" s="216" t="s">
        <v>1256</v>
      </c>
      <c r="U131" s="731">
        <v>11633.793181206403</v>
      </c>
      <c r="V131" s="216" t="s">
        <v>1257</v>
      </c>
      <c r="W131" s="731">
        <v>10527.177668291644</v>
      </c>
      <c r="X131" s="216" t="s">
        <v>1258</v>
      </c>
      <c r="Y131" s="731">
        <v>8443.2796816703794</v>
      </c>
      <c r="Z131"/>
      <c r="AA131"/>
      <c r="AB131"/>
      <c r="AC131"/>
      <c r="AD131"/>
      <c r="AE131" s="559"/>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row>
    <row r="132" spans="2:81" ht="15.5" thickTop="1" thickBot="1">
      <c r="B132"/>
      <c r="C132" s="470" t="s">
        <v>189</v>
      </c>
      <c r="D132" s="215" t="s">
        <v>1010</v>
      </c>
      <c r="E132" s="239">
        <v>21826.505525480075</v>
      </c>
      <c r="F132" s="215" t="s">
        <v>1011</v>
      </c>
      <c r="G132" s="239">
        <v>22777.625505661654</v>
      </c>
      <c r="H132" s="215" t="s">
        <v>1012</v>
      </c>
      <c r="I132" s="239">
        <v>20245</v>
      </c>
      <c r="J132" s="216" t="s">
        <v>1013</v>
      </c>
      <c r="K132" s="240">
        <v>16813</v>
      </c>
      <c r="L132" s="216" t="s">
        <v>1014</v>
      </c>
      <c r="M132" s="240">
        <v>16930.596620258686</v>
      </c>
      <c r="N132" s="268" t="s">
        <v>412</v>
      </c>
      <c r="O132" s="731">
        <v>19290.083221496308</v>
      </c>
      <c r="P132" s="268" t="s">
        <v>967</v>
      </c>
      <c r="Q132" s="731">
        <v>18520.116796440467</v>
      </c>
      <c r="R132" s="268" t="s">
        <v>985</v>
      </c>
      <c r="S132" s="731">
        <v>14261.933188276513</v>
      </c>
      <c r="T132" s="268" t="s">
        <v>1256</v>
      </c>
      <c r="U132" s="731">
        <v>15410.466982303009</v>
      </c>
      <c r="V132" s="268" t="s">
        <v>1257</v>
      </c>
      <c r="W132" s="731">
        <v>18630.860138269738</v>
      </c>
      <c r="X132" s="268" t="s">
        <v>1258</v>
      </c>
      <c r="Y132" s="731">
        <v>18022.39436985166</v>
      </c>
      <c r="Z132"/>
      <c r="AA132"/>
      <c r="AB132"/>
      <c r="AC132"/>
      <c r="AD132"/>
      <c r="AE132" s="559"/>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row>
    <row r="133" spans="2:81" ht="15.5" thickTop="1" thickBot="1">
      <c r="B133"/>
      <c r="C133" s="470" t="s">
        <v>54</v>
      </c>
      <c r="D133" s="215" t="s">
        <v>1010</v>
      </c>
      <c r="E133" s="239">
        <v>91351.635482757047</v>
      </c>
      <c r="F133" s="215" t="s">
        <v>1011</v>
      </c>
      <c r="G133" s="239">
        <v>91293.799432956133</v>
      </c>
      <c r="H133" s="215" t="s">
        <v>1012</v>
      </c>
      <c r="I133" s="239">
        <v>91236</v>
      </c>
      <c r="J133" s="216" t="s">
        <v>1013</v>
      </c>
      <c r="K133" s="240">
        <v>106928</v>
      </c>
      <c r="L133" s="216" t="s">
        <v>1014</v>
      </c>
      <c r="M133" s="240">
        <v>106926</v>
      </c>
      <c r="N133" s="216" t="s">
        <v>412</v>
      </c>
      <c r="O133" s="731">
        <v>113292.64707066678</v>
      </c>
      <c r="P133" s="216" t="s">
        <v>967</v>
      </c>
      <c r="Q133" s="731">
        <v>125586.7731640117</v>
      </c>
      <c r="R133" s="216" t="s">
        <v>985</v>
      </c>
      <c r="S133" s="731">
        <v>132771.42796349645</v>
      </c>
      <c r="T133" s="216" t="s">
        <v>1256</v>
      </c>
      <c r="U133" s="731">
        <v>142009.54980639604</v>
      </c>
      <c r="V133" s="216" t="s">
        <v>1257</v>
      </c>
      <c r="W133" s="731">
        <v>130676.90585999908</v>
      </c>
      <c r="X133" s="216" t="s">
        <v>1258</v>
      </c>
      <c r="Y133" s="731">
        <v>141030.74797643116</v>
      </c>
      <c r="Z133"/>
      <c r="AA133"/>
      <c r="AB133"/>
      <c r="AC133"/>
      <c r="AD133"/>
      <c r="AE133" s="559"/>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row>
    <row r="134" spans="2:81" ht="15.5" thickTop="1" thickBot="1">
      <c r="B134"/>
      <c r="C134" s="470" t="s">
        <v>190</v>
      </c>
      <c r="D134" s="215" t="s">
        <v>1010</v>
      </c>
      <c r="E134" s="239">
        <v>13016.114147347333</v>
      </c>
      <c r="F134" s="215" t="s">
        <v>1011</v>
      </c>
      <c r="G134" s="239">
        <v>8757.3883023579347</v>
      </c>
      <c r="H134" s="215" t="s">
        <v>1012</v>
      </c>
      <c r="I134" s="239">
        <v>10909</v>
      </c>
      <c r="J134" s="216" t="s">
        <v>1013</v>
      </c>
      <c r="K134" s="240">
        <v>8724</v>
      </c>
      <c r="L134" s="216" t="s">
        <v>1014</v>
      </c>
      <c r="M134" s="240">
        <v>6894.5359102947314</v>
      </c>
      <c r="N134" s="268" t="s">
        <v>412</v>
      </c>
      <c r="O134" s="731">
        <v>10360.525526432917</v>
      </c>
      <c r="P134" s="268" t="s">
        <v>967</v>
      </c>
      <c r="Q134" s="731">
        <v>9223.2097445812688</v>
      </c>
      <c r="R134" s="268" t="s">
        <v>985</v>
      </c>
      <c r="S134" s="731">
        <v>7088.3814460411922</v>
      </c>
      <c r="T134" s="268" t="s">
        <v>1256</v>
      </c>
      <c r="U134" s="731">
        <v>7326.397076089057</v>
      </c>
      <c r="V134" s="268" t="s">
        <v>1257</v>
      </c>
      <c r="W134" s="731">
        <v>7891.0260172971202</v>
      </c>
      <c r="X134" s="268" t="s">
        <v>1258</v>
      </c>
      <c r="Y134" s="731">
        <v>4814.5371418934983</v>
      </c>
      <c r="Z134"/>
      <c r="AA134"/>
      <c r="AB134"/>
      <c r="AC134"/>
      <c r="AD134"/>
      <c r="AE134" s="559"/>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row>
    <row r="135" spans="2:81" ht="15.5" thickTop="1" thickBot="1">
      <c r="B135"/>
      <c r="C135" s="470" t="s">
        <v>191</v>
      </c>
      <c r="D135" s="215" t="s">
        <v>1010</v>
      </c>
      <c r="E135" s="239">
        <v>99132.079086397222</v>
      </c>
      <c r="F135" s="215" t="s">
        <v>1011</v>
      </c>
      <c r="G135" s="239">
        <v>64983.715620427305</v>
      </c>
      <c r="H135" s="215" t="s">
        <v>1012</v>
      </c>
      <c r="I135" s="239">
        <v>75954</v>
      </c>
      <c r="J135" s="216" t="s">
        <v>1013</v>
      </c>
      <c r="K135" s="240">
        <v>74550</v>
      </c>
      <c r="L135" s="216" t="s">
        <v>1014</v>
      </c>
      <c r="M135" s="240">
        <v>71645.091152410663</v>
      </c>
      <c r="N135" s="216" t="s">
        <v>412</v>
      </c>
      <c r="O135" s="731">
        <v>49079.091193096654</v>
      </c>
      <c r="P135" s="216" t="s">
        <v>967</v>
      </c>
      <c r="Q135" s="731">
        <v>43217.239481102268</v>
      </c>
      <c r="R135" s="216" t="s">
        <v>985</v>
      </c>
      <c r="S135" s="731">
        <v>31095.522170580276</v>
      </c>
      <c r="T135" s="216" t="s">
        <v>1256</v>
      </c>
      <c r="U135" s="731">
        <v>26684.313846431789</v>
      </c>
      <c r="V135" s="216" t="s">
        <v>1257</v>
      </c>
      <c r="W135" s="731">
        <v>40864.310345189049</v>
      </c>
      <c r="X135" s="216" t="s">
        <v>1258</v>
      </c>
      <c r="Y135" s="731">
        <v>36105.37820460699</v>
      </c>
      <c r="Z135"/>
      <c r="AA135"/>
      <c r="AB135"/>
      <c r="AC135"/>
      <c r="AD135"/>
      <c r="AE135" s="559"/>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row>
    <row r="136" spans="2:81" ht="15.5" thickTop="1" thickBot="1">
      <c r="B136"/>
      <c r="C136" s="470" t="s">
        <v>192</v>
      </c>
      <c r="D136" s="215" t="s">
        <v>1010</v>
      </c>
      <c r="E136" s="239">
        <v>34494.999568335479</v>
      </c>
      <c r="F136" s="215" t="s">
        <v>1011</v>
      </c>
      <c r="G136" s="239">
        <v>29363.536270748707</v>
      </c>
      <c r="H136" s="215" t="s">
        <v>1012</v>
      </c>
      <c r="I136" s="239">
        <v>25519</v>
      </c>
      <c r="J136" s="216" t="s">
        <v>1013</v>
      </c>
      <c r="K136" s="240">
        <v>19936</v>
      </c>
      <c r="L136" s="216" t="s">
        <v>1014</v>
      </c>
      <c r="M136" s="240">
        <v>35037.261473175837</v>
      </c>
      <c r="N136" s="268" t="s">
        <v>412</v>
      </c>
      <c r="O136" s="731">
        <v>20037.050648302669</v>
      </c>
      <c r="P136" s="268" t="s">
        <v>967</v>
      </c>
      <c r="Q136" s="731">
        <v>10173.014318588597</v>
      </c>
      <c r="R136" s="268" t="s">
        <v>985</v>
      </c>
      <c r="S136" s="731">
        <v>7453.7086174472588</v>
      </c>
      <c r="T136" s="268" t="s">
        <v>1256</v>
      </c>
      <c r="U136" s="731">
        <v>7937.905965065218</v>
      </c>
      <c r="V136" s="268" t="s">
        <v>1257</v>
      </c>
      <c r="W136" s="731">
        <v>10654.494265107794</v>
      </c>
      <c r="X136" s="268" t="s">
        <v>1258</v>
      </c>
      <c r="Y136" s="731">
        <v>9946.7021844656738</v>
      </c>
      <c r="Z136"/>
      <c r="AA136"/>
      <c r="AB136"/>
      <c r="AC136"/>
      <c r="AD136"/>
      <c r="AE136" s="559"/>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row>
    <row r="137" spans="2:81" ht="15.5" thickTop="1" thickBot="1">
      <c r="B137"/>
      <c r="C137" s="470" t="s">
        <v>193</v>
      </c>
      <c r="D137" s="215" t="s">
        <v>1010</v>
      </c>
      <c r="E137" s="239">
        <v>69196.785891546402</v>
      </c>
      <c r="F137" s="215" t="s">
        <v>1011</v>
      </c>
      <c r="G137" s="239">
        <v>45238.329824302666</v>
      </c>
      <c r="H137" s="215" t="s">
        <v>1012</v>
      </c>
      <c r="I137" s="239">
        <v>51713</v>
      </c>
      <c r="J137" s="216" t="s">
        <v>1013</v>
      </c>
      <c r="K137" s="240">
        <v>44245</v>
      </c>
      <c r="L137" s="216" t="s">
        <v>1014</v>
      </c>
      <c r="M137" s="240">
        <v>35767.932418505043</v>
      </c>
      <c r="N137" s="216" t="s">
        <v>412</v>
      </c>
      <c r="O137" s="731">
        <v>34013.559388765134</v>
      </c>
      <c r="P137" s="216" t="s">
        <v>967</v>
      </c>
      <c r="Q137" s="731">
        <v>32741.96352711775</v>
      </c>
      <c r="R137" s="216" t="s">
        <v>985</v>
      </c>
      <c r="S137" s="731">
        <v>23974.450005879065</v>
      </c>
      <c r="T137" s="216" t="s">
        <v>1256</v>
      </c>
      <c r="U137" s="731">
        <v>25923.854114429316</v>
      </c>
      <c r="V137" s="216" t="s">
        <v>1257</v>
      </c>
      <c r="W137" s="731">
        <v>20950.407232307691</v>
      </c>
      <c r="X137" s="216" t="s">
        <v>1258</v>
      </c>
      <c r="Y137" s="731">
        <v>19390.374781008315</v>
      </c>
      <c r="Z137"/>
      <c r="AA137"/>
      <c r="AB137"/>
      <c r="AC137"/>
      <c r="AD137"/>
      <c r="AE137" s="559"/>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row>
    <row r="138" spans="2:81" ht="15.5" thickTop="1" thickBot="1">
      <c r="B138" s="245"/>
      <c r="C138" s="465"/>
      <c r="D138" s="466"/>
      <c r="E138" s="467"/>
      <c r="F138" s="466"/>
      <c r="G138" s="468"/>
      <c r="H138" s="466"/>
      <c r="I138" s="468"/>
      <c r="J138" s="468"/>
      <c r="K138" s="467"/>
      <c r="L138" s="468"/>
      <c r="M138" s="467"/>
      <c r="N138" s="268"/>
      <c r="O138" s="469"/>
      <c r="P138"/>
      <c r="Q138"/>
      <c r="R138"/>
      <c r="S138"/>
      <c r="T138"/>
      <c r="U138"/>
      <c r="V138"/>
      <c r="W138"/>
      <c r="X138"/>
      <c r="Y138"/>
      <c r="Z138"/>
      <c r="AA138"/>
      <c r="AB138"/>
      <c r="AC138"/>
      <c r="AD138"/>
      <c r="AE138" s="559"/>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row>
    <row r="139" spans="2:81" ht="19" thickTop="1">
      <c r="B139"/>
      <c r="C139" s="234" t="s">
        <v>0</v>
      </c>
      <c r="D139" s="2587" t="s">
        <v>274</v>
      </c>
      <c r="E139" s="2588"/>
      <c r="F139" s="2588"/>
      <c r="G139" s="2588"/>
      <c r="H139" s="2588"/>
      <c r="I139" s="2588"/>
      <c r="J139" s="2588"/>
      <c r="K139" s="2588"/>
      <c r="L139" s="2588"/>
      <c r="M139" s="2588"/>
      <c r="N139" s="2588"/>
      <c r="O139" s="2588"/>
      <c r="P139" s="2589"/>
      <c r="Q139" s="348"/>
      <c r="R139" s="348"/>
      <c r="S139" s="348"/>
      <c r="T139" s="348"/>
      <c r="U139" s="348"/>
      <c r="V139" s="348"/>
      <c r="W139" s="348"/>
      <c r="X139"/>
      <c r="Y139"/>
      <c r="Z139"/>
      <c r="AA139"/>
      <c r="AB139"/>
      <c r="AC139"/>
      <c r="AD139"/>
      <c r="AE139" s="55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row>
    <row r="140" spans="2:81" ht="14.5">
      <c r="B140"/>
      <c r="C140" s="2543" t="s">
        <v>698</v>
      </c>
      <c r="D140" s="2543">
        <v>1994</v>
      </c>
      <c r="E140" s="2543"/>
      <c r="F140" s="2543">
        <v>2000</v>
      </c>
      <c r="G140" s="2543"/>
      <c r="H140" s="2543">
        <v>2006</v>
      </c>
      <c r="I140" s="2543"/>
      <c r="J140" s="2543">
        <v>2010</v>
      </c>
      <c r="K140" s="2543"/>
      <c r="L140" s="2543">
        <v>2012</v>
      </c>
      <c r="M140" s="2543"/>
      <c r="N140" s="2543">
        <v>2014</v>
      </c>
      <c r="O140" s="2543"/>
      <c r="P140" s="2543">
        <v>2016</v>
      </c>
      <c r="Q140" s="2543"/>
      <c r="R140" s="2543">
        <v>2018</v>
      </c>
      <c r="S140" s="2543"/>
      <c r="T140" s="2543">
        <v>2020</v>
      </c>
      <c r="U140" s="2543"/>
      <c r="V140" s="2543">
        <v>2021</v>
      </c>
      <c r="W140" s="2543"/>
      <c r="X140" s="2543">
        <v>2022</v>
      </c>
      <c r="Y140" s="2543"/>
      <c r="Z140" s="734"/>
      <c r="AA140" s="734"/>
      <c r="AB140" s="734"/>
      <c r="AC140" s="734"/>
      <c r="AD140" s="734"/>
      <c r="AE140" s="559"/>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row>
    <row r="141" spans="2:81" ht="15" thickBot="1">
      <c r="B141"/>
      <c r="C141" s="2543"/>
      <c r="D141" s="235" t="s">
        <v>3</v>
      </c>
      <c r="E141" s="235" t="s">
        <v>509</v>
      </c>
      <c r="F141" s="235" t="s">
        <v>3</v>
      </c>
      <c r="G141" s="235" t="s">
        <v>509</v>
      </c>
      <c r="H141" s="235" t="s">
        <v>3</v>
      </c>
      <c r="I141" s="235" t="s">
        <v>509</v>
      </c>
      <c r="J141" s="235" t="s">
        <v>3</v>
      </c>
      <c r="K141" s="235" t="s">
        <v>509</v>
      </c>
      <c r="L141" s="235" t="s">
        <v>3</v>
      </c>
      <c r="M141" s="235" t="s">
        <v>509</v>
      </c>
      <c r="N141" s="235" t="s">
        <v>3</v>
      </c>
      <c r="O141" s="235" t="s">
        <v>509</v>
      </c>
      <c r="P141" s="235" t="s">
        <v>3</v>
      </c>
      <c r="Q141" s="235" t="s">
        <v>509</v>
      </c>
      <c r="R141" s="235" t="s">
        <v>3</v>
      </c>
      <c r="S141" s="235" t="s">
        <v>509</v>
      </c>
      <c r="T141" s="235" t="s">
        <v>3</v>
      </c>
      <c r="U141" s="235" t="s">
        <v>509</v>
      </c>
      <c r="V141" s="235" t="s">
        <v>3</v>
      </c>
      <c r="W141" s="235" t="s">
        <v>509</v>
      </c>
      <c r="X141" s="235" t="s">
        <v>3</v>
      </c>
      <c r="Y141" s="235" t="s">
        <v>509</v>
      </c>
      <c r="Z141" s="627"/>
      <c r="AA141" s="627"/>
      <c r="AB141" s="627"/>
      <c r="AC141" s="627"/>
      <c r="AD141" s="627"/>
      <c r="AE141" s="559"/>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row>
    <row r="142" spans="2:81" ht="15.5" thickTop="1" thickBot="1">
      <c r="B142"/>
      <c r="C142" s="470" t="s">
        <v>51</v>
      </c>
      <c r="D142" s="215" t="s">
        <v>1010</v>
      </c>
      <c r="E142" s="239">
        <v>19763</v>
      </c>
      <c r="F142" s="215" t="s">
        <v>1011</v>
      </c>
      <c r="G142" s="239">
        <v>12958</v>
      </c>
      <c r="H142" s="215" t="s">
        <v>1012</v>
      </c>
      <c r="I142" s="239">
        <v>7577</v>
      </c>
      <c r="J142" s="216" t="s">
        <v>1013</v>
      </c>
      <c r="K142" s="240">
        <v>7605</v>
      </c>
      <c r="L142" s="216" t="s">
        <v>1014</v>
      </c>
      <c r="M142" s="240">
        <v>7450.2201290729918</v>
      </c>
      <c r="N142" s="268" t="s">
        <v>416</v>
      </c>
      <c r="O142" s="731">
        <v>6814</v>
      </c>
      <c r="P142" s="268" t="s">
        <v>968</v>
      </c>
      <c r="Q142" s="731">
        <f>W107</f>
        <v>6745.7733024470172</v>
      </c>
      <c r="R142" s="268" t="s">
        <v>986</v>
      </c>
      <c r="S142" s="731">
        <f>AA80</f>
        <v>5397.7720778404291</v>
      </c>
      <c r="T142" s="268" t="s">
        <v>1256</v>
      </c>
      <c r="U142" s="731">
        <f>AD80</f>
        <v>14646.734982666992</v>
      </c>
      <c r="V142" s="268" t="s">
        <v>1257</v>
      </c>
      <c r="W142" s="731">
        <f>AG80</f>
        <v>10898.383684924247</v>
      </c>
      <c r="X142" s="268" t="s">
        <v>1258</v>
      </c>
      <c r="Y142" s="731">
        <f>AJ80</f>
        <v>7431.193201537626</v>
      </c>
      <c r="Z142" s="627"/>
      <c r="AA142" s="627"/>
      <c r="AB142" s="627"/>
      <c r="AC142" s="627"/>
      <c r="AD142" s="627"/>
      <c r="AE142" s="559"/>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row>
    <row r="143" spans="2:81" ht="15.5" thickTop="1" thickBot="1">
      <c r="B143"/>
      <c r="C143" s="470" t="s">
        <v>52</v>
      </c>
      <c r="D143" s="215" t="s">
        <v>1010</v>
      </c>
      <c r="E143" s="239">
        <v>612903.15</v>
      </c>
      <c r="F143" s="215" t="s">
        <v>1011</v>
      </c>
      <c r="G143" s="239">
        <v>635975</v>
      </c>
      <c r="H143" s="215" t="s">
        <v>1012</v>
      </c>
      <c r="I143" s="239">
        <v>835042</v>
      </c>
      <c r="J143" s="216" t="s">
        <v>1013</v>
      </c>
      <c r="K143" s="240">
        <v>984096</v>
      </c>
      <c r="L143" s="216" t="s">
        <v>1014</v>
      </c>
      <c r="M143" s="240">
        <v>1329532.0925827788</v>
      </c>
      <c r="N143" s="216" t="s">
        <v>418</v>
      </c>
      <c r="O143" s="731">
        <v>1667704</v>
      </c>
      <c r="P143" s="216" t="s">
        <v>969</v>
      </c>
      <c r="Q143" s="731">
        <f>W108</f>
        <v>1028521.5869657231</v>
      </c>
      <c r="R143" s="216" t="s">
        <v>987</v>
      </c>
      <c r="S143" s="731">
        <f>SUM(AA68:AA75)</f>
        <v>1449265.8901541184</v>
      </c>
      <c r="T143" s="216" t="s">
        <v>1256</v>
      </c>
      <c r="U143" s="731">
        <f>SUM(AD68:AD75)</f>
        <v>1463278.9039110278</v>
      </c>
      <c r="V143" s="216" t="s">
        <v>1257</v>
      </c>
      <c r="W143" s="731">
        <f>SUM(AG68:AG75)</f>
        <v>1849405.1430220339</v>
      </c>
      <c r="X143" s="216" t="s">
        <v>1258</v>
      </c>
      <c r="Y143" s="731">
        <f>SUM(AJ68:AJ75)</f>
        <v>1736396.9967342468</v>
      </c>
      <c r="Z143" s="627"/>
      <c r="AA143" s="627"/>
      <c r="AB143" s="627"/>
      <c r="AC143" s="627"/>
      <c r="AD143" s="627"/>
      <c r="AE143" s="559"/>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row>
    <row r="144" spans="2:81" ht="15.5" thickTop="1" thickBot="1">
      <c r="B144"/>
      <c r="C144" s="470" t="s">
        <v>53</v>
      </c>
      <c r="D144" s="215" t="s">
        <v>1010</v>
      </c>
      <c r="E144" s="239">
        <v>1290518</v>
      </c>
      <c r="F144" s="215" t="s">
        <v>1011</v>
      </c>
      <c r="G144" s="239">
        <v>1246634</v>
      </c>
      <c r="H144" s="215" t="s">
        <v>1012</v>
      </c>
      <c r="I144" s="239">
        <v>1501238</v>
      </c>
      <c r="J144" s="216" t="s">
        <v>1013</v>
      </c>
      <c r="K144" s="240">
        <v>1706193</v>
      </c>
      <c r="L144" s="216" t="s">
        <v>1014</v>
      </c>
      <c r="M144" s="240">
        <v>1565535.2792101367</v>
      </c>
      <c r="N144" s="216" t="s">
        <v>413</v>
      </c>
      <c r="O144" s="731">
        <v>1379954</v>
      </c>
      <c r="P144" s="216" t="s">
        <v>970</v>
      </c>
      <c r="Q144" s="731">
        <f>W117</f>
        <v>1534537.14876418</v>
      </c>
      <c r="R144" s="216" t="s">
        <v>988</v>
      </c>
      <c r="S144" s="731">
        <f>SUM(AA64:AA65)</f>
        <v>1350092.7077205775</v>
      </c>
      <c r="T144" s="216" t="s">
        <v>1256</v>
      </c>
      <c r="U144" s="731">
        <f>SUM(AD64:AD65)</f>
        <v>1336501.83729319</v>
      </c>
      <c r="V144" s="216" t="s">
        <v>1257</v>
      </c>
      <c r="W144" s="731">
        <f>SUM(AG64:AG65)</f>
        <v>1504213.618028248</v>
      </c>
      <c r="X144" s="216" t="s">
        <v>1258</v>
      </c>
      <c r="Y144" s="731">
        <f>SUM(AJ64:AJ65)</f>
        <v>1561271.303037768</v>
      </c>
      <c r="Z144" s="627"/>
      <c r="AA144" s="627"/>
      <c r="AB144" s="627"/>
      <c r="AC144" s="627"/>
      <c r="AD144" s="627"/>
      <c r="AE144" s="559"/>
      <c r="AF144"/>
      <c r="AG144" s="627"/>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row>
    <row r="145" spans="2:81" ht="15.5" thickTop="1" thickBot="1">
      <c r="B145"/>
      <c r="C145" s="470" t="s">
        <v>187</v>
      </c>
      <c r="D145" s="215" t="s">
        <v>1010</v>
      </c>
      <c r="E145" s="239">
        <v>31020.503785449047</v>
      </c>
      <c r="F145" s="215" t="s">
        <v>1011</v>
      </c>
      <c r="G145" s="239">
        <v>26964.023581864683</v>
      </c>
      <c r="H145" s="215" t="s">
        <v>1012</v>
      </c>
      <c r="I145" s="239">
        <v>23438</v>
      </c>
      <c r="J145" s="216" t="s">
        <v>1013</v>
      </c>
      <c r="K145" s="240">
        <v>18733</v>
      </c>
      <c r="L145" s="216" t="s">
        <v>1014</v>
      </c>
      <c r="M145" s="240">
        <v>10961.921772403583</v>
      </c>
      <c r="N145" s="216" t="s">
        <v>414</v>
      </c>
      <c r="O145" s="731">
        <v>14490</v>
      </c>
      <c r="P145" s="216" t="s">
        <v>971</v>
      </c>
      <c r="Q145" s="731">
        <f>X66</f>
        <v>25414.101790070996</v>
      </c>
      <c r="R145" s="216" t="s">
        <v>989</v>
      </c>
      <c r="S145" s="731">
        <f>SUM(AA66:AA67)</f>
        <v>13673.51656460859</v>
      </c>
      <c r="T145" s="216" t="s">
        <v>1256</v>
      </c>
      <c r="U145" s="731">
        <f>SUM(AD66:AD67)</f>
        <v>14107.492032845475</v>
      </c>
      <c r="V145" s="216" t="s">
        <v>1257</v>
      </c>
      <c r="W145" s="731">
        <f>SUM(AG66:AG67)</f>
        <v>14680.862720701358</v>
      </c>
      <c r="X145" s="216" t="s">
        <v>1258</v>
      </c>
      <c r="Y145" s="731">
        <f>SUM(AJ66:AJ67)</f>
        <v>11155.094684484813</v>
      </c>
      <c r="Z145" s="627"/>
      <c r="AA145" s="627"/>
      <c r="AB145" s="627"/>
      <c r="AC145" s="627"/>
      <c r="AD145" s="627"/>
      <c r="AE145" s="559"/>
      <c r="AF145"/>
      <c r="AG145" s="627"/>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row>
    <row r="146" spans="2:81" ht="15.5" thickTop="1" thickBot="1">
      <c r="B146"/>
      <c r="C146" s="470" t="s">
        <v>189</v>
      </c>
      <c r="D146" s="215" t="s">
        <v>1010</v>
      </c>
      <c r="E146" s="239">
        <v>75682.83</v>
      </c>
      <c r="F146" s="215" t="s">
        <v>1011</v>
      </c>
      <c r="G146" s="239">
        <v>84971</v>
      </c>
      <c r="H146" s="215" t="s">
        <v>1012</v>
      </c>
      <c r="I146" s="239">
        <v>69398</v>
      </c>
      <c r="J146" s="216" t="s">
        <v>1013</v>
      </c>
      <c r="K146" s="240">
        <v>53857</v>
      </c>
      <c r="L146" s="216" t="s">
        <v>1014</v>
      </c>
      <c r="M146" s="240">
        <v>70945.162935544184</v>
      </c>
      <c r="N146" s="216" t="s">
        <v>417</v>
      </c>
      <c r="O146" s="731">
        <v>111294</v>
      </c>
      <c r="P146" s="216" t="s">
        <v>968</v>
      </c>
      <c r="Q146" s="731">
        <f>X82</f>
        <v>64899.34863066642</v>
      </c>
      <c r="R146" s="216" t="s">
        <v>990</v>
      </c>
      <c r="S146" s="731">
        <f>SUM(AA82:AA83)</f>
        <v>76892.484807727305</v>
      </c>
      <c r="T146" s="216" t="s">
        <v>1256</v>
      </c>
      <c r="U146" s="731">
        <f>SUM(AD82:AD83)</f>
        <v>64272.997694183177</v>
      </c>
      <c r="V146" s="216" t="s">
        <v>1257</v>
      </c>
      <c r="W146" s="731">
        <f>SUM(AG82:AG83)</f>
        <v>96210.495188572691</v>
      </c>
      <c r="X146" s="216" t="s">
        <v>1258</v>
      </c>
      <c r="Y146" s="731">
        <f>SUM(AJ82:AJ83)</f>
        <v>146299.77519304145</v>
      </c>
      <c r="Z146" s="627"/>
      <c r="AA146" s="627"/>
      <c r="AB146" s="627"/>
      <c r="AC146" s="627"/>
      <c r="AD146" s="627"/>
      <c r="AE146" s="559"/>
      <c r="AF146"/>
      <c r="AG146" s="627"/>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row>
    <row r="147" spans="2:81" ht="15.5" thickTop="1" thickBot="1">
      <c r="B147"/>
      <c r="C147" s="470" t="s">
        <v>188</v>
      </c>
      <c r="D147" s="215" t="s">
        <v>1010</v>
      </c>
      <c r="E147" s="239">
        <v>6971275.1704009334</v>
      </c>
      <c r="F147" s="215" t="s">
        <v>1011</v>
      </c>
      <c r="G147" s="239">
        <v>6983433.4827958364</v>
      </c>
      <c r="H147" s="215" t="s">
        <v>1012</v>
      </c>
      <c r="I147" s="239">
        <v>6995613</v>
      </c>
      <c r="J147" s="216" t="s">
        <v>1013</v>
      </c>
      <c r="K147" s="240">
        <v>8347182</v>
      </c>
      <c r="L147" s="216" t="s">
        <v>1014</v>
      </c>
      <c r="M147" s="240">
        <v>7378921.7062084824</v>
      </c>
      <c r="N147" s="216" t="s">
        <v>419</v>
      </c>
      <c r="O147" s="731">
        <v>8251306</v>
      </c>
      <c r="P147" s="216" t="s">
        <v>972</v>
      </c>
      <c r="Q147" s="731">
        <f>W120</f>
        <v>8661609.2698886879</v>
      </c>
      <c r="R147" s="216" t="s">
        <v>991</v>
      </c>
      <c r="S147" s="731">
        <f>Z120</f>
        <v>7840634.5575351408</v>
      </c>
      <c r="T147" s="216" t="s">
        <v>1256</v>
      </c>
      <c r="U147" s="731">
        <f>AC120</f>
        <v>11390244.840796789</v>
      </c>
      <c r="V147" s="216" t="s">
        <v>1257</v>
      </c>
      <c r="W147" s="731">
        <f>AF120</f>
        <v>11671699.775208281</v>
      </c>
      <c r="X147" s="216" t="s">
        <v>1258</v>
      </c>
      <c r="Y147" s="731">
        <f>AI120</f>
        <v>8113293.4027375858</v>
      </c>
      <c r="Z147" s="627"/>
      <c r="AA147" s="627"/>
      <c r="AB147" s="627"/>
      <c r="AC147" s="627"/>
      <c r="AD147" s="627"/>
      <c r="AE147" s="559"/>
      <c r="AF147"/>
      <c r="AG147" s="62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row>
    <row r="148" spans="2:81" ht="15.5" thickTop="1" thickBot="1">
      <c r="B148"/>
      <c r="C148" s="470" t="s">
        <v>190</v>
      </c>
      <c r="D148" s="215" t="s">
        <v>1010</v>
      </c>
      <c r="E148" s="239">
        <v>15919</v>
      </c>
      <c r="F148" s="215" t="s">
        <v>1011</v>
      </c>
      <c r="G148" s="239">
        <v>8326</v>
      </c>
      <c r="H148" s="215" t="s">
        <v>1012</v>
      </c>
      <c r="I148" s="239">
        <v>15280</v>
      </c>
      <c r="J148" s="216" t="s">
        <v>1013</v>
      </c>
      <c r="K148" s="240">
        <v>10788</v>
      </c>
      <c r="L148" s="216" t="s">
        <v>1014</v>
      </c>
      <c r="M148" s="240">
        <v>5389.5476255891281</v>
      </c>
      <c r="N148" s="216" t="s">
        <v>412</v>
      </c>
      <c r="O148" s="731">
        <v>11835</v>
      </c>
      <c r="P148" s="216" t="s">
        <v>967</v>
      </c>
      <c r="Q148" s="731">
        <f>AC89+AC91</f>
        <v>9779.3506798688632</v>
      </c>
      <c r="R148" s="216" t="s">
        <v>985</v>
      </c>
      <c r="S148" s="731">
        <f>SUM(AF89:AF92)</f>
        <v>14578.329171940029</v>
      </c>
      <c r="T148" s="216" t="s">
        <v>1256</v>
      </c>
      <c r="U148" s="731">
        <f>SUM(AI89:AI92)</f>
        <v>21022.912575532609</v>
      </c>
      <c r="V148" s="216" t="s">
        <v>1257</v>
      </c>
      <c r="W148" s="731">
        <f>SUM(AL89:AL92)</f>
        <v>17680.254642827644</v>
      </c>
      <c r="X148" s="216" t="s">
        <v>1258</v>
      </c>
      <c r="Y148" s="731">
        <f>SUM(AO89:AO92)</f>
        <v>7733.8829193849169</v>
      </c>
      <c r="Z148" s="627"/>
      <c r="AA148" s="627"/>
      <c r="AB148" s="627"/>
      <c r="AC148" s="627"/>
      <c r="AD148" s="627"/>
      <c r="AE148" s="559"/>
      <c r="AF148"/>
      <c r="AG148" s="627"/>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row>
    <row r="149" spans="2:81" ht="15.5" thickTop="1" thickBot="1">
      <c r="B149"/>
      <c r="C149" s="470" t="s">
        <v>191</v>
      </c>
      <c r="D149" s="215" t="s">
        <v>1010</v>
      </c>
      <c r="E149" s="239">
        <v>51430</v>
      </c>
      <c r="F149" s="215" t="s">
        <v>1011</v>
      </c>
      <c r="G149" s="239">
        <v>26498</v>
      </c>
      <c r="H149" s="215" t="s">
        <v>1012</v>
      </c>
      <c r="I149" s="239">
        <v>44086</v>
      </c>
      <c r="J149" s="216" t="s">
        <v>1013</v>
      </c>
      <c r="K149" s="240">
        <v>32655</v>
      </c>
      <c r="L149" s="216" t="s">
        <v>1014</v>
      </c>
      <c r="M149" s="240">
        <v>25906.443645770181</v>
      </c>
      <c r="N149" s="216" t="s">
        <v>412</v>
      </c>
      <c r="O149" s="731">
        <v>30406</v>
      </c>
      <c r="P149" s="216" t="s">
        <v>967</v>
      </c>
      <c r="Q149" s="731">
        <f>AC93+AC95</f>
        <v>18242.685538813577</v>
      </c>
      <c r="R149" s="216" t="s">
        <v>985</v>
      </c>
      <c r="S149" s="731">
        <f>SUM(AF93:AF96)</f>
        <v>32705.259506425144</v>
      </c>
      <c r="T149" s="216" t="s">
        <v>1256</v>
      </c>
      <c r="U149" s="731">
        <f>SUM(AI93:AI96)</f>
        <v>24025.437165563984</v>
      </c>
      <c r="V149" s="216" t="s">
        <v>1257</v>
      </c>
      <c r="W149" s="731">
        <f>SUM(AL93:AL96)</f>
        <v>35394.540123941159</v>
      </c>
      <c r="X149" s="216" t="s">
        <v>1258</v>
      </c>
      <c r="Y149" s="731">
        <f>SUM(AO93:AO96)</f>
        <v>38945.777709644564</v>
      </c>
      <c r="Z149" s="627"/>
      <c r="AA149" s="627"/>
      <c r="AB149" s="627"/>
      <c r="AC149" s="627"/>
      <c r="AD149" s="627"/>
      <c r="AE149" s="559"/>
      <c r="AF149"/>
      <c r="AG149" s="627"/>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row>
    <row r="150" spans="2:81" ht="15.5" thickTop="1" thickBot="1">
      <c r="B150"/>
      <c r="C150" s="470" t="s">
        <v>192</v>
      </c>
      <c r="D150" s="215" t="s">
        <v>1010</v>
      </c>
      <c r="E150" s="239">
        <v>21382</v>
      </c>
      <c r="F150" s="215" t="s">
        <v>1011</v>
      </c>
      <c r="G150" s="239">
        <v>19172</v>
      </c>
      <c r="H150" s="215" t="s">
        <v>1012</v>
      </c>
      <c r="I150" s="239">
        <v>17967</v>
      </c>
      <c r="J150" s="216" t="s">
        <v>1013</v>
      </c>
      <c r="K150" s="240">
        <v>14699</v>
      </c>
      <c r="L150" s="216" t="s">
        <v>1014</v>
      </c>
      <c r="M150" s="240">
        <v>14678.815253759138</v>
      </c>
      <c r="N150" s="216" t="s">
        <v>412</v>
      </c>
      <c r="O150" s="731">
        <v>30254</v>
      </c>
      <c r="P150" s="216" t="s">
        <v>967</v>
      </c>
      <c r="Q150" s="731">
        <f>AC97+AC99</f>
        <v>19631.348603544164</v>
      </c>
      <c r="R150" s="216" t="s">
        <v>985</v>
      </c>
      <c r="S150" s="731">
        <f>SUM(AF97:AF100)</f>
        <v>16774.827057185736</v>
      </c>
      <c r="T150" s="216" t="s">
        <v>1256</v>
      </c>
      <c r="U150" s="731">
        <f>SUM(AI97:AI100)</f>
        <v>28931.606186338366</v>
      </c>
      <c r="V150" s="216" t="s">
        <v>1257</v>
      </c>
      <c r="W150" s="731">
        <f>SUM(AL97:AL100)</f>
        <v>27955.542267693007</v>
      </c>
      <c r="X150" s="216" t="s">
        <v>1258</v>
      </c>
      <c r="Y150" s="731">
        <f>SUM(AO97:AO100)</f>
        <v>21678.713321260744</v>
      </c>
      <c r="Z150"/>
      <c r="AA150" s="627"/>
      <c r="AB150"/>
      <c r="AC150"/>
      <c r="AD150" s="627"/>
      <c r="AE150" s="559"/>
      <c r="AF150"/>
      <c r="AG150" s="627"/>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row>
    <row r="151" spans="2:81" ht="15.5" thickTop="1" thickBot="1">
      <c r="B151"/>
      <c r="C151" s="470" t="s">
        <v>193</v>
      </c>
      <c r="D151" s="215" t="s">
        <v>1010</v>
      </c>
      <c r="E151" s="239">
        <v>473204.54</v>
      </c>
      <c r="F151" s="215" t="s">
        <v>1011</v>
      </c>
      <c r="G151" s="239">
        <v>239715</v>
      </c>
      <c r="H151" s="215" t="s">
        <v>1012</v>
      </c>
      <c r="I151" s="239">
        <v>360793</v>
      </c>
      <c r="J151" s="216" t="s">
        <v>1013</v>
      </c>
      <c r="K151" s="240">
        <v>386798</v>
      </c>
      <c r="L151" s="216" t="s">
        <v>1014</v>
      </c>
      <c r="M151" s="240">
        <v>285100.48751345242</v>
      </c>
      <c r="N151" s="216" t="s">
        <v>415</v>
      </c>
      <c r="O151" s="731">
        <v>421061</v>
      </c>
      <c r="P151" s="216" t="s">
        <v>973</v>
      </c>
      <c r="Q151" s="731">
        <f>X76</f>
        <v>418547.12568770739</v>
      </c>
      <c r="R151" s="216" t="s">
        <v>992</v>
      </c>
      <c r="S151" s="731">
        <f>SUM(AA76:AA77)</f>
        <v>269200.69709234359</v>
      </c>
      <c r="T151" s="216" t="s">
        <v>1256</v>
      </c>
      <c r="U151" s="731">
        <f>SUM(AD76:AD77)</f>
        <v>408313.29949063569</v>
      </c>
      <c r="V151" s="216" t="s">
        <v>1257</v>
      </c>
      <c r="W151" s="731">
        <f>SUM(AG76:AG77)</f>
        <v>244748.54151600323</v>
      </c>
      <c r="X151" s="216" t="s">
        <v>1258</v>
      </c>
      <c r="Y151" s="731">
        <f>SUM(AJ76:AJ77)</f>
        <v>251433.39284937797</v>
      </c>
      <c r="Z151"/>
      <c r="AA151" s="627"/>
      <c r="AB151"/>
      <c r="AC151"/>
      <c r="AD151" s="627"/>
      <c r="AE151" s="559"/>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row>
    <row r="152" spans="2:81" ht="14.5" thickTop="1">
      <c r="C152"/>
      <c r="D152"/>
      <c r="E152"/>
      <c r="F152"/>
      <c r="G152"/>
      <c r="H152"/>
      <c r="I152"/>
      <c r="J152"/>
      <c r="K152"/>
      <c r="L152"/>
      <c r="M152"/>
      <c r="N152"/>
      <c r="O152"/>
      <c r="P152"/>
      <c r="Q152"/>
      <c r="R152"/>
      <c r="S152"/>
      <c r="T152"/>
      <c r="U152"/>
      <c r="V152"/>
      <c r="W152"/>
      <c r="X152"/>
      <c r="Y152"/>
    </row>
    <row r="153" spans="2:81" ht="18.5">
      <c r="C153" s="2596" t="s">
        <v>0</v>
      </c>
      <c r="D153" s="2596"/>
      <c r="E153" s="2593" t="s">
        <v>372</v>
      </c>
      <c r="F153" s="2594"/>
      <c r="G153" s="2594"/>
      <c r="H153" s="2594"/>
      <c r="I153" s="2594"/>
      <c r="J153" s="2594"/>
      <c r="K153" s="2594"/>
      <c r="L153" s="2594"/>
      <c r="M153" s="2594"/>
      <c r="N153" s="2594"/>
      <c r="O153" s="2594"/>
      <c r="P153" s="2594"/>
      <c r="Q153" s="2594"/>
      <c r="R153" s="2594"/>
      <c r="S153" s="2594"/>
      <c r="T153" s="2594"/>
      <c r="U153" s="2594"/>
      <c r="V153" s="2594"/>
      <c r="W153" s="2594"/>
      <c r="X153" s="2594"/>
      <c r="Y153" s="2595"/>
    </row>
    <row r="154" spans="2:81" ht="14.5">
      <c r="C154" s="2543" t="s">
        <v>1</v>
      </c>
      <c r="D154" s="2584" t="s">
        <v>2</v>
      </c>
      <c r="E154" s="2544">
        <v>1994</v>
      </c>
      <c r="F154" s="2545"/>
      <c r="G154" s="2546"/>
      <c r="H154" s="2544">
        <v>2000</v>
      </c>
      <c r="I154" s="2545"/>
      <c r="J154" s="2546"/>
      <c r="K154" s="2544">
        <v>2006</v>
      </c>
      <c r="L154" s="2545"/>
      <c r="M154" s="2546"/>
      <c r="N154" s="2544">
        <v>2010</v>
      </c>
      <c r="O154" s="2545"/>
      <c r="P154" s="2546"/>
      <c r="Q154" s="2544">
        <v>2012</v>
      </c>
      <c r="R154" s="2545"/>
      <c r="S154" s="2546"/>
      <c r="T154" s="2544">
        <v>2014</v>
      </c>
      <c r="U154" s="2545"/>
      <c r="V154" s="2546"/>
      <c r="W154" s="2544">
        <v>2016</v>
      </c>
      <c r="X154" s="2545"/>
      <c r="Y154" s="2546"/>
      <c r="Z154" s="2544">
        <v>2018</v>
      </c>
      <c r="AA154" s="2545"/>
      <c r="AB154" s="2546"/>
      <c r="AC154" s="2544">
        <v>2020</v>
      </c>
      <c r="AD154" s="2545"/>
      <c r="AE154" s="2546"/>
      <c r="AF154" s="2544">
        <v>2021</v>
      </c>
      <c r="AG154" s="2545"/>
      <c r="AH154" s="2546"/>
      <c r="AI154" s="2544">
        <v>2022</v>
      </c>
      <c r="AJ154" s="2545"/>
      <c r="AK154" s="2546"/>
    </row>
    <row r="155" spans="2:81" ht="43.5">
      <c r="C155" s="2543"/>
      <c r="D155" s="2584"/>
      <c r="E155" s="234" t="s">
        <v>3</v>
      </c>
      <c r="F155" s="254" t="s">
        <v>4</v>
      </c>
      <c r="G155" s="254" t="s">
        <v>373</v>
      </c>
      <c r="H155" s="234" t="s">
        <v>3</v>
      </c>
      <c r="I155" s="254" t="s">
        <v>4</v>
      </c>
      <c r="J155" s="254" t="s">
        <v>374</v>
      </c>
      <c r="K155" s="234" t="s">
        <v>3</v>
      </c>
      <c r="L155" s="254" t="s">
        <v>4</v>
      </c>
      <c r="M155" s="254" t="s">
        <v>375</v>
      </c>
      <c r="N155" s="246" t="s">
        <v>3</v>
      </c>
      <c r="O155" s="254" t="s">
        <v>4</v>
      </c>
      <c r="P155" s="254" t="s">
        <v>376</v>
      </c>
      <c r="Q155" s="234" t="s">
        <v>3</v>
      </c>
      <c r="R155" s="254" t="s">
        <v>4</v>
      </c>
      <c r="S155" s="254" t="s">
        <v>377</v>
      </c>
      <c r="T155" s="234" t="s">
        <v>3</v>
      </c>
      <c r="U155" s="254" t="s">
        <v>4</v>
      </c>
      <c r="V155" s="254" t="s">
        <v>5</v>
      </c>
      <c r="W155" s="234" t="s">
        <v>3</v>
      </c>
      <c r="X155" s="254" t="s">
        <v>4</v>
      </c>
      <c r="Y155" s="254" t="s">
        <v>378</v>
      </c>
      <c r="Z155" s="234" t="s">
        <v>3</v>
      </c>
      <c r="AA155" s="254" t="s">
        <v>4</v>
      </c>
      <c r="AB155" s="254" t="s">
        <v>378</v>
      </c>
      <c r="AC155" s="234" t="s">
        <v>3</v>
      </c>
      <c r="AD155" s="254" t="s">
        <v>4</v>
      </c>
      <c r="AE155" s="254" t="s">
        <v>378</v>
      </c>
      <c r="AF155" s="234" t="s">
        <v>3</v>
      </c>
      <c r="AG155" s="254" t="s">
        <v>4</v>
      </c>
      <c r="AH155" s="254" t="s">
        <v>378</v>
      </c>
      <c r="AI155" s="234" t="s">
        <v>3</v>
      </c>
      <c r="AJ155" s="254" t="s">
        <v>4</v>
      </c>
      <c r="AK155" s="254" t="s">
        <v>378</v>
      </c>
    </row>
    <row r="156" spans="2:81" ht="14.5">
      <c r="C156" s="247" t="s">
        <v>16</v>
      </c>
      <c r="D156" s="226">
        <v>0.46</v>
      </c>
      <c r="E156" s="227" t="s">
        <v>379</v>
      </c>
      <c r="F156" s="256">
        <v>133340.446</v>
      </c>
      <c r="G156" s="228">
        <f>D156*F156*1000</f>
        <v>61336605.159999996</v>
      </c>
      <c r="H156" s="229" t="s">
        <v>380</v>
      </c>
      <c r="I156" s="256">
        <v>172370.375</v>
      </c>
      <c r="J156" s="216">
        <f t="shared" ref="J156:J163" si="33">D156*I156*1000</f>
        <v>79290372.5</v>
      </c>
      <c r="K156" s="818" t="s">
        <v>381</v>
      </c>
      <c r="L156" s="278">
        <v>202338.19500000001</v>
      </c>
      <c r="M156" s="322">
        <f t="shared" ref="M156:M163" si="34">D156*L156*1000</f>
        <v>93075569.700000003</v>
      </c>
      <c r="N156" s="818" t="s">
        <v>382</v>
      </c>
      <c r="O156" s="278">
        <v>276302.72200000001</v>
      </c>
      <c r="P156" s="322">
        <f t="shared" ref="P156:P163" si="35">D156*O156*1000</f>
        <v>127099252.12</v>
      </c>
      <c r="Q156" s="636" t="s">
        <v>383</v>
      </c>
      <c r="R156" s="278">
        <v>295276.24300000002</v>
      </c>
      <c r="S156" s="322">
        <f>D156*R156*1000</f>
        <v>135827071.78000003</v>
      </c>
      <c r="T156" s="636" t="s">
        <v>420</v>
      </c>
      <c r="U156" s="278">
        <v>294262.27</v>
      </c>
      <c r="V156" s="322">
        <f>$D156*U156*1000</f>
        <v>135360644.20000002</v>
      </c>
      <c r="W156" s="215" t="s">
        <v>974</v>
      </c>
      <c r="X156" s="278">
        <v>291746.8</v>
      </c>
      <c r="Y156" s="322">
        <f t="shared" ref="Y156:Y163" si="36">D156*X156*1000</f>
        <v>134203527.99999999</v>
      </c>
      <c r="Z156" s="816" t="s">
        <v>976</v>
      </c>
      <c r="AA156" s="278">
        <v>284779.59999999998</v>
      </c>
      <c r="AB156" s="322">
        <f>D156*AA156*1000</f>
        <v>130998616</v>
      </c>
      <c r="AC156" s="215" t="s">
        <v>978</v>
      </c>
      <c r="AD156" s="278">
        <v>289034.59999999998</v>
      </c>
      <c r="AE156" s="322">
        <f>D156*AD156*1000</f>
        <v>132955916</v>
      </c>
      <c r="AF156" s="215" t="s">
        <v>979</v>
      </c>
      <c r="AG156" s="278">
        <v>299902.59999999998</v>
      </c>
      <c r="AH156" s="322">
        <f>D156*AG156*1000</f>
        <v>137955196</v>
      </c>
      <c r="AI156" s="215" t="s">
        <v>979</v>
      </c>
      <c r="AJ156" s="278">
        <v>217122.4</v>
      </c>
      <c r="AK156" s="322">
        <f>D156*AJ156*1000</f>
        <v>99876304</v>
      </c>
    </row>
    <row r="157" spans="2:81" ht="14.5">
      <c r="C157" s="247" t="s">
        <v>6</v>
      </c>
      <c r="D157" s="226">
        <v>0.33500000000000002</v>
      </c>
      <c r="E157" s="227" t="s">
        <v>379</v>
      </c>
      <c r="F157" s="256">
        <v>1249.8</v>
      </c>
      <c r="G157" s="228">
        <f t="shared" ref="G157:G162" si="37">D157*F157*1000</f>
        <v>418683</v>
      </c>
      <c r="H157" s="229" t="s">
        <v>380</v>
      </c>
      <c r="I157" s="256">
        <v>21962.916000000001</v>
      </c>
      <c r="J157" s="216">
        <f t="shared" si="33"/>
        <v>7357576.8600000013</v>
      </c>
      <c r="K157" s="818" t="s">
        <v>381</v>
      </c>
      <c r="L157" s="278">
        <v>37127.913</v>
      </c>
      <c r="M157" s="216">
        <f t="shared" si="34"/>
        <v>12437850.855</v>
      </c>
      <c r="N157" s="818" t="s">
        <v>382</v>
      </c>
      <c r="O157" s="278">
        <v>41292.83</v>
      </c>
      <c r="P157" s="322">
        <f t="shared" si="35"/>
        <v>13833098.050000001</v>
      </c>
      <c r="Q157" s="636" t="s">
        <v>383</v>
      </c>
      <c r="R157" s="278">
        <v>59175.341999999997</v>
      </c>
      <c r="S157" s="322">
        <f t="shared" ref="S157:S163" si="38">D157*R157*1000</f>
        <v>19823739.57</v>
      </c>
      <c r="T157" s="636" t="s">
        <v>420</v>
      </c>
      <c r="U157" s="278">
        <v>73250.965689999997</v>
      </c>
      <c r="V157" s="322">
        <f>$D157*U157*1000</f>
        <v>24539073.506150004</v>
      </c>
      <c r="W157" s="215" t="s">
        <v>975</v>
      </c>
      <c r="X157" s="278">
        <v>70881.399999999994</v>
      </c>
      <c r="Y157" s="322">
        <f t="shared" si="36"/>
        <v>23745269</v>
      </c>
      <c r="Z157" s="816" t="s">
        <v>975</v>
      </c>
      <c r="AA157" s="278">
        <v>82733.5</v>
      </c>
      <c r="AB157" s="322">
        <f t="shared" ref="AB157:AB163" si="39">D157*AA157*1000</f>
        <v>27715722.5</v>
      </c>
      <c r="AC157" s="215" t="s">
        <v>975</v>
      </c>
      <c r="AD157" s="278">
        <v>82398.600000000006</v>
      </c>
      <c r="AE157" s="322">
        <f t="shared" ref="AE157:AE163" si="40">D157*AD157*1000</f>
        <v>27603531.000000004</v>
      </c>
      <c r="AF157" s="215" t="s">
        <v>975</v>
      </c>
      <c r="AG157" s="278">
        <v>110464.4</v>
      </c>
      <c r="AH157" s="322">
        <f t="shared" ref="AH157:AH163" si="41">D157*AG157*1000</f>
        <v>37005574</v>
      </c>
      <c r="AI157" s="215" t="s">
        <v>975</v>
      </c>
      <c r="AJ157" s="278">
        <v>64455.8</v>
      </c>
      <c r="AK157" s="322">
        <f t="shared" ref="AK157:AK163" si="42">D157*AJ157*1000</f>
        <v>21592693.000000004</v>
      </c>
    </row>
    <row r="158" spans="2:81" ht="14.5">
      <c r="C158" s="247" t="s">
        <v>9</v>
      </c>
      <c r="D158" s="226">
        <v>0.18</v>
      </c>
      <c r="E158" s="227" t="s">
        <v>379</v>
      </c>
      <c r="F158" s="256">
        <v>9103.9459999999999</v>
      </c>
      <c r="G158" s="228">
        <f t="shared" si="37"/>
        <v>1638710.28</v>
      </c>
      <c r="H158" s="229" t="s">
        <v>380</v>
      </c>
      <c r="I158" s="256">
        <v>49911.142</v>
      </c>
      <c r="J158" s="216">
        <f t="shared" si="33"/>
        <v>8984005.5600000005</v>
      </c>
      <c r="K158" s="818" t="s">
        <v>381</v>
      </c>
      <c r="L158" s="278">
        <v>67206.725999999995</v>
      </c>
      <c r="M158" s="216">
        <f t="shared" si="34"/>
        <v>12097210.679999998</v>
      </c>
      <c r="N158" s="818" t="s">
        <v>382</v>
      </c>
      <c r="O158" s="278">
        <v>40327.279000000002</v>
      </c>
      <c r="P158" s="322">
        <f t="shared" si="35"/>
        <v>7258910.2199999997</v>
      </c>
      <c r="Q158" s="636" t="s">
        <v>383</v>
      </c>
      <c r="R158" s="278">
        <v>46845.392</v>
      </c>
      <c r="S158" s="322">
        <f t="shared" si="38"/>
        <v>8432170.5600000005</v>
      </c>
      <c r="T158" s="636" t="s">
        <v>420</v>
      </c>
      <c r="U158" s="278">
        <v>82597.100000000006</v>
      </c>
      <c r="V158" s="322">
        <f t="shared" ref="V158:V163" si="43">$D158*U158*1000</f>
        <v>14867478.000000002</v>
      </c>
      <c r="W158" s="215" t="s">
        <v>976</v>
      </c>
      <c r="X158" s="278">
        <v>73024.600000000006</v>
      </c>
      <c r="Y158" s="322">
        <f t="shared" si="36"/>
        <v>13144428</v>
      </c>
      <c r="Z158" s="816" t="s">
        <v>976</v>
      </c>
      <c r="AA158" s="278">
        <v>83578.2</v>
      </c>
      <c r="AB158" s="322">
        <f t="shared" si="39"/>
        <v>15044076</v>
      </c>
      <c r="AC158" s="215" t="s">
        <v>978</v>
      </c>
      <c r="AD158" s="278">
        <v>85915.7</v>
      </c>
      <c r="AE158" s="322">
        <f t="shared" si="40"/>
        <v>15464826</v>
      </c>
      <c r="AF158" s="215" t="s">
        <v>979</v>
      </c>
      <c r="AG158" s="278">
        <v>103156.1</v>
      </c>
      <c r="AH158" s="322">
        <f t="shared" si="41"/>
        <v>18568098</v>
      </c>
      <c r="AI158" s="215" t="s">
        <v>979</v>
      </c>
      <c r="AJ158" s="278">
        <v>49337.5</v>
      </c>
      <c r="AK158" s="322">
        <f t="shared" si="42"/>
        <v>8880750</v>
      </c>
    </row>
    <row r="159" spans="2:81" ht="14.5">
      <c r="C159" s="247" t="s">
        <v>10</v>
      </c>
      <c r="D159" s="226">
        <v>0.20499999999999999</v>
      </c>
      <c r="E159" s="227" t="s">
        <v>379</v>
      </c>
      <c r="F159" s="256">
        <v>4412.1000000000004</v>
      </c>
      <c r="G159" s="228">
        <f t="shared" si="37"/>
        <v>904480.5</v>
      </c>
      <c r="H159" s="229" t="s">
        <v>380</v>
      </c>
      <c r="I159" s="256">
        <v>7929.6570000000002</v>
      </c>
      <c r="J159" s="216">
        <f t="shared" si="33"/>
        <v>1625579.6849999998</v>
      </c>
      <c r="K159" s="818" t="s">
        <v>381</v>
      </c>
      <c r="L159" s="278">
        <v>17375.05</v>
      </c>
      <c r="M159" s="216">
        <f t="shared" si="34"/>
        <v>3561885.25</v>
      </c>
      <c r="N159" s="818" t="s">
        <v>382</v>
      </c>
      <c r="O159" s="278">
        <v>20116.666000000001</v>
      </c>
      <c r="P159" s="322">
        <f t="shared" si="35"/>
        <v>4123916.5300000003</v>
      </c>
      <c r="Q159" s="636" t="s">
        <v>383</v>
      </c>
      <c r="R159" s="278">
        <v>26566.925999999999</v>
      </c>
      <c r="S159" s="322">
        <f t="shared" si="38"/>
        <v>5446219.8300000001</v>
      </c>
      <c r="T159" s="636" t="s">
        <v>420</v>
      </c>
      <c r="U159" s="278">
        <v>40198.78</v>
      </c>
      <c r="V159" s="322">
        <f t="shared" si="43"/>
        <v>8240749.8999999985</v>
      </c>
      <c r="W159" s="215" t="s">
        <v>977</v>
      </c>
      <c r="X159" s="278">
        <v>63338.1</v>
      </c>
      <c r="Y159" s="322">
        <f t="shared" si="36"/>
        <v>12984310.5</v>
      </c>
      <c r="Z159" s="816" t="s">
        <v>977</v>
      </c>
      <c r="AA159" s="278">
        <v>87770.2</v>
      </c>
      <c r="AB159" s="322">
        <f t="shared" si="39"/>
        <v>17992891</v>
      </c>
      <c r="AC159" s="215" t="s">
        <v>977</v>
      </c>
      <c r="AD159" s="278">
        <v>110798.5</v>
      </c>
      <c r="AE159" s="322">
        <f t="shared" si="40"/>
        <v>22713692.499999996</v>
      </c>
      <c r="AF159" s="215" t="s">
        <v>977</v>
      </c>
      <c r="AG159" s="278">
        <v>134440.5</v>
      </c>
      <c r="AH159" s="322">
        <f t="shared" si="41"/>
        <v>27560302.499999996</v>
      </c>
      <c r="AI159" s="215" t="s">
        <v>977</v>
      </c>
      <c r="AJ159" s="278">
        <v>106303.3</v>
      </c>
      <c r="AK159" s="322">
        <f t="shared" si="42"/>
        <v>21792176.499999996</v>
      </c>
    </row>
    <row r="160" spans="2:81" ht="14.5">
      <c r="C160" s="247" t="s">
        <v>11</v>
      </c>
      <c r="D160" s="226">
        <v>0.155</v>
      </c>
      <c r="E160" s="227" t="s">
        <v>379</v>
      </c>
      <c r="F160" s="256">
        <v>124.818</v>
      </c>
      <c r="G160" s="228">
        <f t="shared" si="37"/>
        <v>19346.789999999997</v>
      </c>
      <c r="H160" s="229" t="s">
        <v>380</v>
      </c>
      <c r="I160" s="256">
        <v>3755.3870000000002</v>
      </c>
      <c r="J160" s="216">
        <f t="shared" si="33"/>
        <v>582084.9850000001</v>
      </c>
      <c r="K160" s="818" t="s">
        <v>381</v>
      </c>
      <c r="L160" s="278">
        <v>9570.4419999999991</v>
      </c>
      <c r="M160" s="216">
        <f t="shared" si="34"/>
        <v>1483418.5099999998</v>
      </c>
      <c r="N160" s="818" t="s">
        <v>382</v>
      </c>
      <c r="O160" s="278">
        <v>10857.824000000001</v>
      </c>
      <c r="P160" s="322">
        <f t="shared" si="35"/>
        <v>1682962.72</v>
      </c>
      <c r="Q160" s="636" t="s">
        <v>383</v>
      </c>
      <c r="R160" s="278">
        <v>11461.591</v>
      </c>
      <c r="S160" s="322">
        <f t="shared" si="38"/>
        <v>1776546.605</v>
      </c>
      <c r="T160" s="636" t="s">
        <v>420</v>
      </c>
      <c r="U160" s="278">
        <v>15206.7</v>
      </c>
      <c r="V160" s="322">
        <f t="shared" si="43"/>
        <v>2357038.5</v>
      </c>
      <c r="W160" s="215" t="s">
        <v>978</v>
      </c>
      <c r="X160" s="278">
        <v>14991</v>
      </c>
      <c r="Y160" s="322">
        <f t="shared" si="36"/>
        <v>2323605</v>
      </c>
      <c r="Z160" s="816" t="s">
        <v>978</v>
      </c>
      <c r="AA160" s="278">
        <v>19582.5</v>
      </c>
      <c r="AB160" s="322">
        <f t="shared" si="39"/>
        <v>3035287.5</v>
      </c>
      <c r="AC160" s="215" t="s">
        <v>978</v>
      </c>
      <c r="AD160" s="278">
        <v>25766.400000000001</v>
      </c>
      <c r="AE160" s="322">
        <f>D160*AD160*1000</f>
        <v>3993792.0000000005</v>
      </c>
      <c r="AF160" s="215" t="s">
        <v>978</v>
      </c>
      <c r="AG160" s="278">
        <v>34776.300000000003</v>
      </c>
      <c r="AH160" s="322">
        <f t="shared" si="41"/>
        <v>5390326.5</v>
      </c>
      <c r="AI160" s="215" t="s">
        <v>978</v>
      </c>
      <c r="AJ160" s="278">
        <v>20417.599999999999</v>
      </c>
      <c r="AK160" s="322">
        <f t="shared" si="42"/>
        <v>3164727.9999999995</v>
      </c>
    </row>
    <row r="161" spans="3:37" ht="14.5">
      <c r="C161" s="247" t="s">
        <v>12</v>
      </c>
      <c r="D161" s="226">
        <v>0.11</v>
      </c>
      <c r="E161" s="227" t="s">
        <v>379</v>
      </c>
      <c r="F161" s="256">
        <v>8310.0400000000009</v>
      </c>
      <c r="G161" s="228">
        <f t="shared" si="37"/>
        <v>914104.4</v>
      </c>
      <c r="H161" s="229" t="s">
        <v>380</v>
      </c>
      <c r="I161" s="256">
        <v>572.54999999999995</v>
      </c>
      <c r="J161" s="216">
        <f t="shared" si="33"/>
        <v>62980.499999999993</v>
      </c>
      <c r="K161" s="818" t="s">
        <v>381</v>
      </c>
      <c r="L161" s="278">
        <v>477.62200000000001</v>
      </c>
      <c r="M161" s="216">
        <f t="shared" si="34"/>
        <v>52538.420000000006</v>
      </c>
      <c r="N161" s="818" t="s">
        <v>382</v>
      </c>
      <c r="O161" s="278">
        <v>30717.427</v>
      </c>
      <c r="P161" s="322">
        <f t="shared" si="35"/>
        <v>3378916.9699999997</v>
      </c>
      <c r="Q161" s="636" t="s">
        <v>383</v>
      </c>
      <c r="R161" s="278">
        <v>11429.986000000001</v>
      </c>
      <c r="S161" s="322">
        <f t="shared" si="38"/>
        <v>1257298.4600000002</v>
      </c>
      <c r="T161" s="636" t="s">
        <v>420</v>
      </c>
      <c r="U161" s="278">
        <v>10258.34</v>
      </c>
      <c r="V161" s="322">
        <f t="shared" si="43"/>
        <v>1128417.4000000001</v>
      </c>
      <c r="W161" s="215" t="s">
        <v>979</v>
      </c>
      <c r="X161" s="278">
        <v>4610</v>
      </c>
      <c r="Y161" s="322">
        <f t="shared" si="36"/>
        <v>507100</v>
      </c>
      <c r="Z161" s="816" t="s">
        <v>979</v>
      </c>
      <c r="AA161" s="278">
        <v>5509.5</v>
      </c>
      <c r="AB161" s="322">
        <f t="shared" si="39"/>
        <v>606045</v>
      </c>
      <c r="AC161" s="215" t="s">
        <v>979</v>
      </c>
      <c r="AD161" s="278">
        <v>3325.4</v>
      </c>
      <c r="AE161" s="322">
        <f t="shared" si="40"/>
        <v>365794.00000000006</v>
      </c>
      <c r="AF161" s="215" t="s">
        <v>979</v>
      </c>
      <c r="AG161" s="278">
        <v>5120.8</v>
      </c>
      <c r="AH161" s="322">
        <f t="shared" si="41"/>
        <v>563288</v>
      </c>
      <c r="AI161" s="215" t="s">
        <v>979</v>
      </c>
      <c r="AJ161" s="278">
        <v>9073.7999999999993</v>
      </c>
      <c r="AK161" s="322">
        <f t="shared" si="42"/>
        <v>998117.99999999988</v>
      </c>
    </row>
    <row r="162" spans="3:37" ht="14.5">
      <c r="C162" s="247" t="s">
        <v>13</v>
      </c>
      <c r="D162" s="226">
        <v>0.13</v>
      </c>
      <c r="E162" s="227" t="s">
        <v>379</v>
      </c>
      <c r="F162" s="256">
        <v>289.815</v>
      </c>
      <c r="G162" s="228">
        <f t="shared" si="37"/>
        <v>37675.949999999997</v>
      </c>
      <c r="H162" s="229" t="s">
        <v>380</v>
      </c>
      <c r="I162" s="256">
        <v>6088.027</v>
      </c>
      <c r="J162" s="216">
        <f t="shared" si="33"/>
        <v>791443.51</v>
      </c>
      <c r="K162" s="818" t="s">
        <v>381</v>
      </c>
      <c r="L162" s="278">
        <v>9151.52</v>
      </c>
      <c r="M162" s="216">
        <f t="shared" si="34"/>
        <v>1189697.6000000001</v>
      </c>
      <c r="N162" s="818" t="s">
        <v>382</v>
      </c>
      <c r="O162" s="278">
        <v>7281.076</v>
      </c>
      <c r="P162" s="322">
        <f t="shared" si="35"/>
        <v>946539.88</v>
      </c>
      <c r="Q162" s="636" t="s">
        <v>383</v>
      </c>
      <c r="R162" s="278">
        <v>7580.9809999999998</v>
      </c>
      <c r="S162" s="322">
        <f t="shared" si="38"/>
        <v>985527.52999999991</v>
      </c>
      <c r="T162" s="636" t="s">
        <v>420</v>
      </c>
      <c r="U162" s="278">
        <v>9560.81</v>
      </c>
      <c r="V162" s="322">
        <f t="shared" si="43"/>
        <v>1242905.2999999998</v>
      </c>
      <c r="W162" s="215" t="s">
        <v>979</v>
      </c>
      <c r="X162" s="278">
        <v>6391</v>
      </c>
      <c r="Y162" s="322">
        <f t="shared" si="36"/>
        <v>830830</v>
      </c>
      <c r="Z162" s="816" t="s">
        <v>979</v>
      </c>
      <c r="AA162" s="278">
        <v>14755.6</v>
      </c>
      <c r="AB162" s="322">
        <f t="shared" si="39"/>
        <v>1918228</v>
      </c>
      <c r="AC162" s="215" t="s">
        <v>979</v>
      </c>
      <c r="AD162" s="278">
        <v>5055.5</v>
      </c>
      <c r="AE162" s="322">
        <f t="shared" si="40"/>
        <v>657215</v>
      </c>
      <c r="AF162" s="215" t="s">
        <v>979</v>
      </c>
      <c r="AG162" s="278">
        <v>1394</v>
      </c>
      <c r="AH162" s="322">
        <f t="shared" si="41"/>
        <v>181220</v>
      </c>
      <c r="AI162" s="215" t="s">
        <v>979</v>
      </c>
      <c r="AJ162" s="278">
        <v>9363.7000000000007</v>
      </c>
      <c r="AK162" s="322">
        <f t="shared" si="42"/>
        <v>1217281.0000000002</v>
      </c>
    </row>
    <row r="163" spans="3:37" ht="14.5">
      <c r="C163" s="247" t="s">
        <v>14</v>
      </c>
      <c r="D163" s="226">
        <v>0.16</v>
      </c>
      <c r="E163" s="227" t="s">
        <v>379</v>
      </c>
      <c r="F163" s="256">
        <v>2100.1350000000002</v>
      </c>
      <c r="G163" s="228">
        <f>D163*F163*1000</f>
        <v>336021.60000000003</v>
      </c>
      <c r="H163" s="229" t="s">
        <v>380</v>
      </c>
      <c r="I163" s="256">
        <v>5071.2049999999999</v>
      </c>
      <c r="J163" s="216">
        <f t="shared" si="33"/>
        <v>811392.79999999993</v>
      </c>
      <c r="K163" s="818" t="s">
        <v>381</v>
      </c>
      <c r="L163" s="278">
        <v>0</v>
      </c>
      <c r="M163" s="216">
        <f t="shared" si="34"/>
        <v>0</v>
      </c>
      <c r="N163" s="818" t="s">
        <v>382</v>
      </c>
      <c r="O163" s="278">
        <v>368.39100000000002</v>
      </c>
      <c r="P163" s="322">
        <f t="shared" si="35"/>
        <v>58942.560000000005</v>
      </c>
      <c r="Q163" s="636" t="s">
        <v>383</v>
      </c>
      <c r="R163" s="278">
        <v>659.64300000000003</v>
      </c>
      <c r="S163" s="322">
        <f t="shared" si="38"/>
        <v>105542.88</v>
      </c>
      <c r="T163" s="636" t="s">
        <v>420</v>
      </c>
      <c r="U163" s="278">
        <v>1220.4000000000001</v>
      </c>
      <c r="V163" s="322">
        <f t="shared" si="43"/>
        <v>195264</v>
      </c>
      <c r="W163" s="215" t="s">
        <v>980</v>
      </c>
      <c r="X163" s="278">
        <v>648.9</v>
      </c>
      <c r="Y163" s="322">
        <f t="shared" si="36"/>
        <v>103824</v>
      </c>
      <c r="Z163" s="816" t="s">
        <v>980</v>
      </c>
      <c r="AA163" s="278">
        <v>827.1</v>
      </c>
      <c r="AB163" s="322">
        <f t="shared" si="39"/>
        <v>132336</v>
      </c>
      <c r="AC163" s="215" t="s">
        <v>980</v>
      </c>
      <c r="AD163" s="278">
        <v>561.79999999999995</v>
      </c>
      <c r="AE163" s="322">
        <f t="shared" si="40"/>
        <v>89887.999999999985</v>
      </c>
      <c r="AF163" s="215" t="s">
        <v>980</v>
      </c>
      <c r="AG163" s="278">
        <v>537</v>
      </c>
      <c r="AH163" s="322">
        <f t="shared" si="41"/>
        <v>85920</v>
      </c>
      <c r="AI163" s="215" t="s">
        <v>980</v>
      </c>
      <c r="AJ163" s="278">
        <v>538.20000000000005</v>
      </c>
      <c r="AK163" s="322">
        <f t="shared" si="42"/>
        <v>86112.000000000015</v>
      </c>
    </row>
    <row r="164" spans="3:37" ht="14.5">
      <c r="C164" s="247" t="s">
        <v>486</v>
      </c>
      <c r="D164" s="248"/>
      <c r="E164" s="249"/>
      <c r="F164" s="249">
        <f>SUM(F156:F163)</f>
        <v>158931.1</v>
      </c>
      <c r="G164" s="270">
        <f>SUM(G156:G163)</f>
        <v>65605627.68</v>
      </c>
      <c r="H164" s="249"/>
      <c r="I164" s="270">
        <f>SUM(I156:I163)</f>
        <v>267661.25899999996</v>
      </c>
      <c r="J164" s="255">
        <f>SUM(J156:J163)</f>
        <v>99505436.400000006</v>
      </c>
      <c r="K164" s="250"/>
      <c r="L164" s="255">
        <f>SUM(L156:L163)</f>
        <v>343247.46799999999</v>
      </c>
      <c r="M164" s="255">
        <f>SUM(M156:M163)</f>
        <v>123898171.015</v>
      </c>
      <c r="N164" s="250"/>
      <c r="O164" s="250">
        <f>SUM(O156:O163)</f>
        <v>427264.21500000008</v>
      </c>
      <c r="P164" s="255">
        <f>SUM(P156:P163)</f>
        <v>158382539.05000001</v>
      </c>
      <c r="Q164" s="250"/>
      <c r="R164" s="250">
        <f>SUM(R156:R163)</f>
        <v>458996.10399999999</v>
      </c>
      <c r="S164" s="255">
        <f>SUM(S156:S163)</f>
        <v>173654117.21500003</v>
      </c>
      <c r="T164" s="250"/>
      <c r="U164" s="250">
        <f>SUM(U156:U163)</f>
        <v>526555.36569000012</v>
      </c>
      <c r="V164" s="250">
        <f>SUM(V156:V163)</f>
        <v>187931570.80615005</v>
      </c>
      <c r="W164" s="250"/>
      <c r="X164" s="250">
        <f>SUM(X156:X163)</f>
        <v>525631.79999999993</v>
      </c>
      <c r="Y164" s="250">
        <f>SUM(Y156:Y163)</f>
        <v>187842894.5</v>
      </c>
      <c r="Z164" s="817"/>
      <c r="AA164" s="250">
        <f>SUM(AA156:AA163)</f>
        <v>579536.19999999995</v>
      </c>
      <c r="AB164" s="250">
        <f>SUM(AB156:AB163)</f>
        <v>197443202</v>
      </c>
      <c r="AC164" s="250"/>
      <c r="AD164" s="250">
        <f>SUM(AD156:AD163)</f>
        <v>602856.5</v>
      </c>
      <c r="AE164" s="250">
        <f>SUM(AE156:AE163)</f>
        <v>203844654.5</v>
      </c>
      <c r="AF164" s="250"/>
      <c r="AG164" s="250">
        <f>SUM(AG156:AG163)</f>
        <v>689791.70000000007</v>
      </c>
      <c r="AH164" s="250">
        <f>SUM(AH156:AH163)</f>
        <v>227309925</v>
      </c>
      <c r="AI164" s="250"/>
      <c r="AJ164" s="250">
        <f>SUM(AJ156:AJ163)</f>
        <v>476612.3</v>
      </c>
      <c r="AK164" s="250">
        <f>SUM(AK156:AK163)</f>
        <v>157608162.5</v>
      </c>
    </row>
    <row r="165" spans="3:37" ht="14.5">
      <c r="C165" s="321" t="s">
        <v>487</v>
      </c>
      <c r="D165" s="226">
        <v>0.12</v>
      </c>
      <c r="E165" s="215" t="s">
        <v>1015</v>
      </c>
      <c r="F165" s="278">
        <v>159891679.09267399</v>
      </c>
      <c r="G165" s="322">
        <f>F165*$D165</f>
        <v>19187001.491120879</v>
      </c>
      <c r="H165" s="215" t="s">
        <v>1015</v>
      </c>
      <c r="I165" s="278">
        <v>218679411.7040405</v>
      </c>
      <c r="J165" s="322">
        <f>I165*$D165</f>
        <v>26241529.404484857</v>
      </c>
      <c r="K165" s="215" t="s">
        <v>1015</v>
      </c>
      <c r="L165" s="278">
        <v>228596304.43454576</v>
      </c>
      <c r="M165" s="322">
        <f>L165*$D165</f>
        <v>27431556.532145489</v>
      </c>
      <c r="N165" s="215" t="s">
        <v>1015</v>
      </c>
      <c r="O165" s="278">
        <v>239871451.14408082</v>
      </c>
      <c r="P165" s="322">
        <f>O165*$D165</f>
        <v>28784574.137289695</v>
      </c>
      <c r="Q165" s="215" t="s">
        <v>1015</v>
      </c>
      <c r="R165" s="278">
        <v>265201842.79805189</v>
      </c>
      <c r="S165" s="322">
        <f>R165*$D165</f>
        <v>31824221.135766227</v>
      </c>
      <c r="T165" s="636" t="s">
        <v>1016</v>
      </c>
      <c r="U165" s="278">
        <v>276525461.06727999</v>
      </c>
      <c r="V165" s="322">
        <f>U165*$D165</f>
        <v>33183055.328073598</v>
      </c>
      <c r="W165" s="636" t="s">
        <v>981</v>
      </c>
      <c r="X165" s="278">
        <v>239161.55319867999</v>
      </c>
      <c r="Y165" s="322">
        <f>X165*$D165*1000</f>
        <v>28699386.383841597</v>
      </c>
      <c r="Z165" s="815" t="s">
        <v>984</v>
      </c>
      <c r="AA165" s="278">
        <v>265823.01960027998</v>
      </c>
      <c r="AB165" s="322">
        <f>AA165*$D165*1000</f>
        <v>31898762.352033596</v>
      </c>
      <c r="AC165" s="636" t="s">
        <v>1259</v>
      </c>
      <c r="AD165" s="278">
        <v>454945.60804575979</v>
      </c>
      <c r="AE165" s="322">
        <f>AD165*$D165*1000</f>
        <v>54593472.965491168</v>
      </c>
      <c r="AF165" s="636" t="s">
        <v>1262</v>
      </c>
      <c r="AG165" s="278">
        <v>429066.89727342012</v>
      </c>
      <c r="AH165" s="322">
        <f>AG165*$D165*1000</f>
        <v>51488027.672810413</v>
      </c>
      <c r="AI165" s="636" t="s">
        <v>1262</v>
      </c>
      <c r="AJ165" s="278">
        <v>374311.54261214007</v>
      </c>
      <c r="AK165" s="322">
        <f>AJ165*$D165*1000</f>
        <v>44917385.113456801</v>
      </c>
    </row>
    <row r="166" spans="3:37" ht="14.5">
      <c r="C166"/>
      <c r="D166"/>
      <c r="E166" s="2543">
        <v>1994</v>
      </c>
      <c r="F166" s="2543"/>
      <c r="G166" s="2543"/>
      <c r="H166" s="2543">
        <v>2000</v>
      </c>
      <c r="I166" s="2543"/>
      <c r="J166" s="2543"/>
      <c r="K166" s="2543">
        <v>2006</v>
      </c>
      <c r="L166" s="2543"/>
      <c r="M166" s="2543"/>
      <c r="N166" s="2543">
        <v>2010</v>
      </c>
      <c r="O166" s="2543"/>
      <c r="P166" s="2543"/>
      <c r="Q166" s="2543">
        <v>2012</v>
      </c>
      <c r="R166" s="2543"/>
      <c r="S166" s="2543"/>
      <c r="T166" s="2543">
        <v>2014</v>
      </c>
      <c r="U166" s="2543"/>
      <c r="V166" s="2543"/>
      <c r="W166" s="2544">
        <v>2016</v>
      </c>
      <c r="X166" s="2545"/>
      <c r="Y166" s="2546"/>
      <c r="Z166" s="2544">
        <v>2018</v>
      </c>
      <c r="AA166" s="2545"/>
      <c r="AB166" s="2546"/>
      <c r="AC166" s="2544">
        <v>2020</v>
      </c>
      <c r="AD166" s="2545"/>
      <c r="AE166" s="2546"/>
      <c r="AF166" s="2544">
        <v>2021</v>
      </c>
      <c r="AG166" s="2545"/>
      <c r="AH166" s="2546"/>
      <c r="AI166" s="2544">
        <v>2022</v>
      </c>
      <c r="AJ166" s="2545"/>
      <c r="AK166" s="2546"/>
    </row>
    <row r="167" spans="3:37" ht="14.5">
      <c r="C167" s="247" t="s">
        <v>484</v>
      </c>
      <c r="D167" s="185"/>
      <c r="E167" s="227"/>
      <c r="F167" s="256"/>
      <c r="G167" s="228"/>
      <c r="H167" s="229"/>
      <c r="I167" s="256"/>
      <c r="J167" s="228"/>
      <c r="K167" s="229"/>
      <c r="L167" s="256"/>
      <c r="M167" s="230"/>
      <c r="N167" s="229"/>
      <c r="O167" s="256"/>
      <c r="P167" s="230"/>
      <c r="Q167" s="227"/>
      <c r="R167" s="256"/>
      <c r="S167" s="230"/>
      <c r="T167" s="219" t="s">
        <v>485</v>
      </c>
      <c r="U167" s="256"/>
      <c r="V167" s="230">
        <f>SUM(V168:V169)</f>
        <v>14972941.430028083</v>
      </c>
      <c r="W167" s="227"/>
      <c r="X167" s="256"/>
      <c r="Y167" s="230"/>
      <c r="Z167" s="227"/>
      <c r="AA167" s="256"/>
      <c r="AB167" s="230"/>
      <c r="AC167" s="227"/>
      <c r="AD167" s="256"/>
      <c r="AE167" s="230"/>
      <c r="AF167" s="227"/>
      <c r="AG167" s="256"/>
      <c r="AH167" s="230"/>
      <c r="AI167" s="227"/>
      <c r="AJ167" s="256"/>
      <c r="AK167" s="230"/>
    </row>
    <row r="168" spans="3:37" ht="14.5">
      <c r="C168" s="247" t="s">
        <v>489</v>
      </c>
      <c r="D168" s="769">
        <v>0.86</v>
      </c>
      <c r="E168" s="219" t="s">
        <v>1086</v>
      </c>
      <c r="F168" s="256">
        <v>11951588.996829811</v>
      </c>
      <c r="G168" s="230">
        <f>F168*$D168</f>
        <v>10278366.537273638</v>
      </c>
      <c r="H168" s="219" t="s">
        <v>1086</v>
      </c>
      <c r="I168" s="256">
        <v>12739771.39814193</v>
      </c>
      <c r="J168" s="230">
        <f>I168*$D168</f>
        <v>10956203.40240206</v>
      </c>
      <c r="K168" s="219" t="s">
        <v>1086</v>
      </c>
      <c r="L168" s="256">
        <v>14223870.694830345</v>
      </c>
      <c r="M168" s="230">
        <f>L168*$D168</f>
        <v>12232528.797554096</v>
      </c>
      <c r="N168" s="219" t="s">
        <v>1086</v>
      </c>
      <c r="O168" s="256">
        <v>16385795.712197395</v>
      </c>
      <c r="P168" s="230">
        <f>O168*$D168</f>
        <v>14091784.312489759</v>
      </c>
      <c r="Q168" s="219" t="s">
        <v>1086</v>
      </c>
      <c r="R168" s="256">
        <v>16814318.461809147</v>
      </c>
      <c r="S168" s="230">
        <f>R168*$D168</f>
        <v>14460313.877155866</v>
      </c>
      <c r="T168" s="219" t="s">
        <v>485</v>
      </c>
      <c r="U168" s="256">
        <v>17346970.818265215</v>
      </c>
      <c r="V168" s="230">
        <f>U168*$D168</f>
        <v>14918394.903708084</v>
      </c>
      <c r="W168" s="219" t="s">
        <v>1088</v>
      </c>
      <c r="X168" s="256">
        <v>14332.149540099999</v>
      </c>
      <c r="Y168" s="230">
        <f>X168*D168*1000</f>
        <v>12325648.604486</v>
      </c>
      <c r="Z168" s="219" t="s">
        <v>993</v>
      </c>
      <c r="AA168" s="256">
        <f>X168+(X168*(S144/Q144-1))</f>
        <v>12609.489835832841</v>
      </c>
      <c r="AB168" s="230">
        <f>AA168*D168*1000</f>
        <v>10844161.258816242</v>
      </c>
      <c r="AC168" s="219" t="s">
        <v>993</v>
      </c>
      <c r="AD168" s="256">
        <v>7937.6792150000047</v>
      </c>
      <c r="AE168" s="322">
        <f>AD168*D168*1000</f>
        <v>6826404.1249000039</v>
      </c>
      <c r="AF168" s="219" t="s">
        <v>993</v>
      </c>
      <c r="AG168" s="256">
        <v>10098.209922800001</v>
      </c>
      <c r="AH168" s="230">
        <f>AG168*D168*1000</f>
        <v>8684460.5336080007</v>
      </c>
      <c r="AI168" s="219" t="s">
        <v>993</v>
      </c>
      <c r="AJ168" s="256">
        <v>8701.0810875799998</v>
      </c>
      <c r="AK168" s="230">
        <f>AJ168*D168*1000</f>
        <v>7482929.7353187995</v>
      </c>
    </row>
    <row r="169" spans="3:37" ht="14.5">
      <c r="C169" s="247" t="s">
        <v>488</v>
      </c>
      <c r="D169" s="185"/>
      <c r="E169" s="219" t="s">
        <v>1087</v>
      </c>
      <c r="F169" s="256"/>
      <c r="G169" s="228">
        <v>52268.774414197826</v>
      </c>
      <c r="H169" s="219" t="s">
        <v>1087</v>
      </c>
      <c r="I169" s="256"/>
      <c r="J169" s="228">
        <v>51999.986832751907</v>
      </c>
      <c r="K169" s="219" t="s">
        <v>1087</v>
      </c>
      <c r="L169" s="256"/>
      <c r="M169" s="219">
        <f>AVERAGE(J169,P169)</f>
        <v>54878.872191735383</v>
      </c>
      <c r="N169" s="219" t="s">
        <v>1087</v>
      </c>
      <c r="O169" s="256"/>
      <c r="P169" s="230">
        <v>57757.757550718859</v>
      </c>
      <c r="Q169" s="219" t="s">
        <v>1087</v>
      </c>
      <c r="R169" s="256"/>
      <c r="S169" s="230">
        <v>56338.37416608791</v>
      </c>
      <c r="T169" s="219" t="s">
        <v>485</v>
      </c>
      <c r="U169" s="256"/>
      <c r="V169" s="230">
        <v>54546.526319999997</v>
      </c>
      <c r="W169" s="219" t="s">
        <v>1088</v>
      </c>
      <c r="X169" s="256">
        <v>1613.6093992000001</v>
      </c>
      <c r="Y169" s="230">
        <f>X169*D165*1000</f>
        <v>193633.12790399999</v>
      </c>
      <c r="Z169" s="219" t="s">
        <v>994</v>
      </c>
      <c r="AA169" s="256">
        <f>X169+(X169*(S144/Q144-1))</f>
        <v>1419.6608304489387</v>
      </c>
      <c r="AB169" s="230">
        <f>AA169*D165*1000</f>
        <v>170359.29965387261</v>
      </c>
      <c r="AC169" s="219" t="s">
        <v>994</v>
      </c>
      <c r="AD169" s="256">
        <v>1525.3190140800002</v>
      </c>
      <c r="AE169" s="322">
        <f>AD169*D165*1000</f>
        <v>183038.2816896</v>
      </c>
      <c r="AF169" s="219" t="s">
        <v>994</v>
      </c>
      <c r="AG169" s="256">
        <v>505.15132400000027</v>
      </c>
      <c r="AH169" s="230">
        <f>AG169*D165*1000</f>
        <v>60618.158880000032</v>
      </c>
      <c r="AI169" s="219" t="s">
        <v>994</v>
      </c>
      <c r="AJ169" s="256">
        <v>162.351752</v>
      </c>
      <c r="AK169" s="230">
        <f>AJ169*D165*1000</f>
        <v>19482.21024</v>
      </c>
    </row>
    <row r="170" spans="3:37" ht="14.5">
      <c r="C170" s="321"/>
      <c r="D170"/>
      <c r="E170" s="2514"/>
      <c r="F170" s="2515">
        <v>6.5519054454764207E-3</v>
      </c>
      <c r="G170" s="2516"/>
      <c r="H170" s="2514"/>
      <c r="I170" s="2515">
        <v>6.5182128472035675E-3</v>
      </c>
      <c r="J170" s="2516"/>
      <c r="K170" s="2514"/>
      <c r="L170" s="2515">
        <v>6.8790819295921268E-3</v>
      </c>
      <c r="M170" s="2514"/>
      <c r="N170" s="2514"/>
      <c r="O170" s="2515">
        <v>7.239951011980687E-3</v>
      </c>
      <c r="P170" s="2517"/>
      <c r="Q170" s="2514"/>
      <c r="R170" s="2515">
        <v>7.0620309089897857E-3</v>
      </c>
      <c r="S170" s="2517"/>
      <c r="T170" s="2514"/>
      <c r="U170" s="2515">
        <v>6.8374222819112904E-3</v>
      </c>
      <c r="V170" s="2517"/>
      <c r="W170" s="2514"/>
      <c r="X170" s="2515">
        <v>2.4271966568135964E-2</v>
      </c>
      <c r="Y170" s="2517"/>
      <c r="Z170" s="2514"/>
      <c r="AA170" s="2515">
        <v>2.1354585708184673E-2</v>
      </c>
      <c r="AB170" s="2517"/>
      <c r="AC170" s="2514"/>
      <c r="AD170" s="2515">
        <v>2.2943899641292988E-2</v>
      </c>
      <c r="AE170" s="2517"/>
      <c r="AF170" s="2514"/>
      <c r="AG170" s="2515">
        <v>1.136101583516471E-2</v>
      </c>
      <c r="AH170" s="2517"/>
      <c r="AI170" s="2514"/>
      <c r="AJ170" s="2518">
        <v>5.3806392306077104E-3</v>
      </c>
      <c r="AK170" s="885" t="s">
        <v>2367</v>
      </c>
    </row>
    <row r="171" spans="3:37" ht="14.5">
      <c r="C171" s="340"/>
      <c r="D171"/>
      <c r="E171" s="341"/>
      <c r="F171" s="342"/>
      <c r="G171" s="343"/>
      <c r="H171" s="344"/>
      <c r="I171" s="342"/>
      <c r="J171" s="343"/>
      <c r="K171" s="344"/>
      <c r="L171" s="342"/>
      <c r="M171" s="345"/>
      <c r="N171" s="344"/>
      <c r="O171" s="342"/>
      <c r="P171" s="345"/>
      <c r="Q171" s="341"/>
      <c r="R171" s="342"/>
      <c r="S171" s="345"/>
      <c r="T171" s="346"/>
      <c r="U171" s="342"/>
      <c r="V171" s="345"/>
      <c r="W171" s="341"/>
      <c r="X171" s="342"/>
      <c r="Y171" s="345"/>
      <c r="Z171" s="341"/>
      <c r="AA171" s="342"/>
      <c r="AB171" s="345"/>
      <c r="AC171" s="341"/>
      <c r="AD171" s="342"/>
      <c r="AE171" s="345"/>
      <c r="AF171" s="341"/>
      <c r="AG171" s="342"/>
      <c r="AH171" s="345"/>
      <c r="AI171" s="341"/>
      <c r="AJ171" s="342"/>
      <c r="AK171" s="345"/>
    </row>
    <row r="172" spans="3:37" ht="14.5">
      <c r="E172" s="2597">
        <v>1994</v>
      </c>
      <c r="F172" s="2597"/>
      <c r="G172" s="2597"/>
      <c r="H172" s="2597">
        <v>2000</v>
      </c>
      <c r="I172" s="2597"/>
      <c r="J172" s="2597"/>
      <c r="K172" s="2597">
        <v>2006</v>
      </c>
      <c r="L172" s="2597"/>
      <c r="M172" s="2597"/>
      <c r="N172" s="2597">
        <v>2010</v>
      </c>
      <c r="O172" s="2597"/>
      <c r="P172" s="2597"/>
      <c r="Q172" s="2597">
        <v>2012</v>
      </c>
      <c r="R172" s="2597"/>
      <c r="S172" s="2597"/>
      <c r="T172" s="2597">
        <v>2014</v>
      </c>
      <c r="U172" s="2597"/>
      <c r="V172" s="2597"/>
      <c r="W172" s="2540">
        <v>2016</v>
      </c>
      <c r="X172" s="2541"/>
      <c r="Y172" s="2542"/>
      <c r="Z172" s="2540">
        <v>2018</v>
      </c>
      <c r="AA172" s="2541"/>
      <c r="AB172" s="2542"/>
      <c r="AC172" s="2540">
        <v>2020</v>
      </c>
      <c r="AD172" s="2541"/>
      <c r="AE172" s="2542"/>
      <c r="AF172" s="2540">
        <v>2021</v>
      </c>
      <c r="AG172" s="2541"/>
      <c r="AH172" s="2542"/>
      <c r="AI172" s="2540">
        <v>2022</v>
      </c>
      <c r="AJ172" s="2541"/>
      <c r="AK172" s="2542"/>
    </row>
    <row r="173" spans="3:37" ht="14.5">
      <c r="C173" s="247" t="s">
        <v>506</v>
      </c>
      <c r="E173" s="219" t="s">
        <v>1379</v>
      </c>
      <c r="F173" s="256">
        <v>1650.1759000000002</v>
      </c>
      <c r="G173" s="228"/>
      <c r="H173" s="219" t="s">
        <v>1379</v>
      </c>
      <c r="I173" s="256">
        <v>1650.1759000000002</v>
      </c>
      <c r="J173" s="228"/>
      <c r="K173" s="219" t="s">
        <v>1378</v>
      </c>
      <c r="L173" s="256">
        <v>1650.1759000000002</v>
      </c>
      <c r="M173" s="230"/>
      <c r="N173" s="219" t="s">
        <v>1378</v>
      </c>
      <c r="O173" s="256">
        <v>1650.1759000000002</v>
      </c>
      <c r="P173" s="230"/>
      <c r="Q173" s="219" t="s">
        <v>1377</v>
      </c>
      <c r="R173" s="256">
        <v>1650.1759000000002</v>
      </c>
      <c r="S173" s="230"/>
      <c r="T173" s="219" t="s">
        <v>505</v>
      </c>
      <c r="U173" s="256">
        <v>1650.1759000000002</v>
      </c>
      <c r="V173" s="230"/>
      <c r="W173" s="219" t="s">
        <v>505</v>
      </c>
      <c r="X173" s="256">
        <v>1650.1759000000002</v>
      </c>
      <c r="Y173" s="230"/>
      <c r="Z173" s="219" t="s">
        <v>1380</v>
      </c>
      <c r="AA173" s="256">
        <v>1650.1759000000002</v>
      </c>
      <c r="AB173" s="230"/>
      <c r="AC173" s="219" t="s">
        <v>1381</v>
      </c>
      <c r="AD173" s="256">
        <v>1647.6126999999999</v>
      </c>
      <c r="AE173" s="230"/>
      <c r="AF173" s="219" t="s">
        <v>1382</v>
      </c>
      <c r="AG173" s="256">
        <v>1647.6126999999999</v>
      </c>
      <c r="AH173" s="230"/>
      <c r="AI173" s="219" t="s">
        <v>2382</v>
      </c>
      <c r="AJ173" s="256">
        <v>1647.6126999999999</v>
      </c>
      <c r="AK173" s="230"/>
    </row>
    <row r="176" spans="3:37" ht="18.5">
      <c r="C176" s="234" t="s">
        <v>0</v>
      </c>
      <c r="D176" s="2587" t="s">
        <v>882</v>
      </c>
      <c r="E176" s="2588"/>
      <c r="F176" s="2588"/>
      <c r="G176" s="2588"/>
      <c r="H176" s="2588"/>
      <c r="I176" s="2588"/>
      <c r="J176" s="2588"/>
      <c r="K176" s="2588"/>
      <c r="L176" s="2588"/>
      <c r="M176" s="2588"/>
      <c r="N176" s="2588"/>
      <c r="O176" s="2588"/>
      <c r="P176" s="2589"/>
    </row>
    <row r="177" spans="3:25" ht="14.5">
      <c r="C177" s="2543" t="s">
        <v>885</v>
      </c>
      <c r="D177" s="2543">
        <v>1994</v>
      </c>
      <c r="E177" s="2543"/>
      <c r="F177" s="2543">
        <v>2000</v>
      </c>
      <c r="G177" s="2543"/>
      <c r="H177" s="2543">
        <v>2006</v>
      </c>
      <c r="I177" s="2543"/>
      <c r="J177" s="2543">
        <v>2010</v>
      </c>
      <c r="K177" s="2543"/>
      <c r="L177" s="2543">
        <v>2012</v>
      </c>
      <c r="M177" s="2543"/>
      <c r="N177" s="2543">
        <v>2014</v>
      </c>
      <c r="O177" s="2543"/>
      <c r="P177" s="2543">
        <v>2016</v>
      </c>
      <c r="Q177" s="2543"/>
      <c r="R177" s="2543">
        <v>2018</v>
      </c>
      <c r="S177" s="2543"/>
      <c r="T177" s="2543">
        <v>2020</v>
      </c>
      <c r="U177" s="2543"/>
      <c r="V177" s="2543">
        <v>2021</v>
      </c>
      <c r="W177" s="2543"/>
      <c r="X177" s="2543">
        <v>2022</v>
      </c>
      <c r="Y177" s="2543"/>
    </row>
    <row r="178" spans="3:25" ht="15" thickBot="1">
      <c r="C178" s="2543"/>
      <c r="D178" s="235" t="s">
        <v>3</v>
      </c>
      <c r="E178" s="235" t="s">
        <v>1167</v>
      </c>
      <c r="F178" s="235" t="s">
        <v>3</v>
      </c>
      <c r="G178" s="235" t="s">
        <v>1167</v>
      </c>
      <c r="H178" s="235" t="s">
        <v>3</v>
      </c>
      <c r="I178" s="235" t="s">
        <v>1167</v>
      </c>
      <c r="J178" s="235" t="s">
        <v>3</v>
      </c>
      <c r="K178" s="235" t="s">
        <v>1167</v>
      </c>
      <c r="L178" s="235" t="s">
        <v>3</v>
      </c>
      <c r="M178" s="235" t="s">
        <v>1167</v>
      </c>
      <c r="N178" s="235" t="s">
        <v>3</v>
      </c>
      <c r="O178" s="235" t="s">
        <v>1167</v>
      </c>
      <c r="P178" s="235" t="s">
        <v>3</v>
      </c>
      <c r="Q178" s="235" t="s">
        <v>1167</v>
      </c>
      <c r="R178" s="235" t="s">
        <v>3</v>
      </c>
      <c r="S178" s="235" t="s">
        <v>1167</v>
      </c>
      <c r="T178" s="235" t="s">
        <v>3</v>
      </c>
      <c r="U178" s="235" t="s">
        <v>1167</v>
      </c>
      <c r="V178" s="235" t="s">
        <v>3</v>
      </c>
      <c r="W178" s="235" t="s">
        <v>1167</v>
      </c>
      <c r="X178" s="235" t="s">
        <v>3</v>
      </c>
      <c r="Y178" s="235" t="s">
        <v>1167</v>
      </c>
    </row>
    <row r="179" spans="3:25" ht="15.5" thickTop="1" thickBot="1">
      <c r="C179" s="470" t="s">
        <v>883</v>
      </c>
      <c r="D179" s="215" t="s">
        <v>1090</v>
      </c>
      <c r="E179" s="239">
        <v>26032.489995054297</v>
      </c>
      <c r="F179" s="215" t="s">
        <v>1090</v>
      </c>
      <c r="G179" s="239">
        <v>27912.681897853712</v>
      </c>
      <c r="H179" s="215" t="s">
        <v>1090</v>
      </c>
      <c r="I179" s="239">
        <v>29928.670322308335</v>
      </c>
      <c r="J179" s="215" t="s">
        <v>1090</v>
      </c>
      <c r="K179" s="240">
        <v>31352.9199095845</v>
      </c>
      <c r="L179" s="215" t="s">
        <v>1090</v>
      </c>
      <c r="M179" s="240">
        <v>39358.841306094364</v>
      </c>
      <c r="N179" s="268" t="s">
        <v>1018</v>
      </c>
      <c r="O179" s="731">
        <v>42725.56</v>
      </c>
      <c r="P179" s="268" t="s">
        <v>1019</v>
      </c>
      <c r="Q179" s="731">
        <v>41309.129037349107</v>
      </c>
      <c r="R179" s="268" t="s">
        <v>1020</v>
      </c>
      <c r="S179" s="731">
        <v>43920.160980973364</v>
      </c>
      <c r="T179" s="878" t="s">
        <v>1383</v>
      </c>
      <c r="U179" s="880">
        <v>38826.145802493986</v>
      </c>
      <c r="V179" s="878" t="s">
        <v>1384</v>
      </c>
      <c r="W179" s="880">
        <v>42241.63734154671</v>
      </c>
      <c r="X179" s="878" t="s">
        <v>2381</v>
      </c>
      <c r="Y179" s="880">
        <v>45554.409203429874</v>
      </c>
    </row>
    <row r="180" spans="3:25" ht="15.5" thickTop="1" thickBot="1">
      <c r="C180" s="470" t="s">
        <v>884</v>
      </c>
      <c r="D180" s="215" t="s">
        <v>1017</v>
      </c>
      <c r="E180" s="239">
        <v>760.7</v>
      </c>
      <c r="F180" s="215" t="s">
        <v>1017</v>
      </c>
      <c r="G180" s="239">
        <v>842</v>
      </c>
      <c r="H180" s="215" t="s">
        <v>1017</v>
      </c>
      <c r="I180" s="239">
        <v>1462.1100000000001</v>
      </c>
      <c r="J180" s="215" t="s">
        <v>1017</v>
      </c>
      <c r="K180" s="240">
        <v>10444.02</v>
      </c>
      <c r="L180" s="215" t="s">
        <v>1017</v>
      </c>
      <c r="M180" s="240">
        <v>7972.09</v>
      </c>
      <c r="N180" s="215" t="s">
        <v>1017</v>
      </c>
      <c r="O180" s="731">
        <v>9287.1</v>
      </c>
      <c r="P180" s="215" t="s">
        <v>1017</v>
      </c>
      <c r="Q180" s="731">
        <v>9287.1</v>
      </c>
      <c r="R180" s="215" t="s">
        <v>1017</v>
      </c>
      <c r="S180" s="731">
        <v>8829.7199999999993</v>
      </c>
      <c r="T180" s="879" t="s">
        <v>1385</v>
      </c>
      <c r="U180" s="731">
        <v>7440.3</v>
      </c>
      <c r="V180" s="879" t="s">
        <v>1385</v>
      </c>
      <c r="W180" s="731">
        <v>11750.5</v>
      </c>
      <c r="X180" s="879" t="s">
        <v>1385</v>
      </c>
      <c r="Y180" s="731">
        <v>15702.4</v>
      </c>
    </row>
    <row r="181" spans="3:25" ht="14.5" thickTop="1"/>
    <row r="185" spans="3:25">
      <c r="G185" s="7" t="s">
        <v>1089</v>
      </c>
    </row>
  </sheetData>
  <mergeCells count="190">
    <mergeCell ref="AI44:AK44"/>
    <mergeCell ref="AI154:AK154"/>
    <mergeCell ref="AF166:AH166"/>
    <mergeCell ref="AI166:AK166"/>
    <mergeCell ref="AC154:AE154"/>
    <mergeCell ref="AC166:AE166"/>
    <mergeCell ref="AI62:AK62"/>
    <mergeCell ref="AK87:AM87"/>
    <mergeCell ref="AA56:AE57"/>
    <mergeCell ref="AF56:AJ57"/>
    <mergeCell ref="AB87:AD87"/>
    <mergeCell ref="Z62:AB62"/>
    <mergeCell ref="AE87:AG87"/>
    <mergeCell ref="AB104:AD104"/>
    <mergeCell ref="Y87:AA87"/>
    <mergeCell ref="AE104:AG104"/>
    <mergeCell ref="AC62:AE62"/>
    <mergeCell ref="AF62:AH62"/>
    <mergeCell ref="AH87:AJ87"/>
    <mergeCell ref="AF44:AH44"/>
    <mergeCell ref="E61:Y61"/>
    <mergeCell ref="L126:M126"/>
    <mergeCell ref="N126:O126"/>
    <mergeCell ref="B56:F57"/>
    <mergeCell ref="N172:P172"/>
    <mergeCell ref="E154:G154"/>
    <mergeCell ref="L177:M177"/>
    <mergeCell ref="N177:O177"/>
    <mergeCell ref="Q172:S172"/>
    <mergeCell ref="T172:V172"/>
    <mergeCell ref="D176:P176"/>
    <mergeCell ref="R177:S177"/>
    <mergeCell ref="H172:J172"/>
    <mergeCell ref="K166:M166"/>
    <mergeCell ref="N166:P166"/>
    <mergeCell ref="E166:G166"/>
    <mergeCell ref="H166:J166"/>
    <mergeCell ref="Q154:S154"/>
    <mergeCell ref="C177:C178"/>
    <mergeCell ref="D177:E177"/>
    <mergeCell ref="F177:G177"/>
    <mergeCell ref="H177:I177"/>
    <mergeCell ref="J177:K177"/>
    <mergeCell ref="E172:G172"/>
    <mergeCell ref="J140:K140"/>
    <mergeCell ref="L140:M140"/>
    <mergeCell ref="K172:M172"/>
    <mergeCell ref="H140:I140"/>
    <mergeCell ref="C48:C50"/>
    <mergeCell ref="AC44:AE44"/>
    <mergeCell ref="N154:P154"/>
    <mergeCell ref="R140:S140"/>
    <mergeCell ref="P126:Q126"/>
    <mergeCell ref="P140:Q140"/>
    <mergeCell ref="E153:Y153"/>
    <mergeCell ref="D140:E140"/>
    <mergeCell ref="X140:Y140"/>
    <mergeCell ref="W154:Y154"/>
    <mergeCell ref="D139:P139"/>
    <mergeCell ref="N140:O140"/>
    <mergeCell ref="D126:E126"/>
    <mergeCell ref="F126:G126"/>
    <mergeCell ref="C153:D153"/>
    <mergeCell ref="C140:C141"/>
    <mergeCell ref="C126:C127"/>
    <mergeCell ref="K154:M154"/>
    <mergeCell ref="H154:J154"/>
    <mergeCell ref="C154:C155"/>
    <mergeCell ref="D154:D155"/>
    <mergeCell ref="Q62:S62"/>
    <mergeCell ref="T62:V62"/>
    <mergeCell ref="F140:G140"/>
    <mergeCell ref="V56:Z57"/>
    <mergeCell ref="I87:L87"/>
    <mergeCell ref="M87:P87"/>
    <mergeCell ref="W62:Y62"/>
    <mergeCell ref="V104:X104"/>
    <mergeCell ref="Y104:AA104"/>
    <mergeCell ref="J126:K126"/>
    <mergeCell ref="H126:I126"/>
    <mergeCell ref="P104:R104"/>
    <mergeCell ref="D125:P125"/>
    <mergeCell ref="J104:L104"/>
    <mergeCell ref="M104:O104"/>
    <mergeCell ref="C104:C105"/>
    <mergeCell ref="D104:F104"/>
    <mergeCell ref="D103:X103"/>
    <mergeCell ref="G104:I104"/>
    <mergeCell ref="AP56:AT57"/>
    <mergeCell ref="AN87:AP87"/>
    <mergeCell ref="Q87:T87"/>
    <mergeCell ref="C86:D86"/>
    <mergeCell ref="E86:AB86"/>
    <mergeCell ref="E87:H87"/>
    <mergeCell ref="L56:P57"/>
    <mergeCell ref="AK56:AO57"/>
    <mergeCell ref="C62:C63"/>
    <mergeCell ref="D62:D63"/>
    <mergeCell ref="E62:G62"/>
    <mergeCell ref="H62:J62"/>
    <mergeCell ref="C61:D61"/>
    <mergeCell ref="K62:M62"/>
    <mergeCell ref="N62:P62"/>
    <mergeCell ref="U87:X87"/>
    <mergeCell ref="C87:C88"/>
    <mergeCell ref="D87:D88"/>
    <mergeCell ref="G56:K57"/>
    <mergeCell ref="Q56:U57"/>
    <mergeCell ref="E43:Y43"/>
    <mergeCell ref="N44:P44"/>
    <mergeCell ref="Q44:S44"/>
    <mergeCell ref="V40:Z41"/>
    <mergeCell ref="T44:V44"/>
    <mergeCell ref="W44:Y44"/>
    <mergeCell ref="Z44:AB44"/>
    <mergeCell ref="B40:F41"/>
    <mergeCell ref="G40:K41"/>
    <mergeCell ref="L40:P41"/>
    <mergeCell ref="H44:J44"/>
    <mergeCell ref="K44:M44"/>
    <mergeCell ref="D44:D45"/>
    <mergeCell ref="E44:G44"/>
    <mergeCell ref="C44:C45"/>
    <mergeCell ref="AP40:AT41"/>
    <mergeCell ref="AC7:AG8"/>
    <mergeCell ref="AH7:AL8"/>
    <mergeCell ref="AM7:AQ8"/>
    <mergeCell ref="L7:P8"/>
    <mergeCell ref="Q7:U8"/>
    <mergeCell ref="AA40:AE41"/>
    <mergeCell ref="AF40:AJ41"/>
    <mergeCell ref="AK40:AO41"/>
    <mergeCell ref="Q40:U41"/>
    <mergeCell ref="B1:F1"/>
    <mergeCell ref="B7:F8"/>
    <mergeCell ref="G7:K8"/>
    <mergeCell ref="X7:AB8"/>
    <mergeCell ref="M12:N12"/>
    <mergeCell ref="O12:P12"/>
    <mergeCell ref="E12:F12"/>
    <mergeCell ref="S12:T12"/>
    <mergeCell ref="V7:W8"/>
    <mergeCell ref="U12:V12"/>
    <mergeCell ref="C11:D11"/>
    <mergeCell ref="C2:F5"/>
    <mergeCell ref="C38:D38"/>
    <mergeCell ref="B14:B25"/>
    <mergeCell ref="B26:B38"/>
    <mergeCell ref="W12:X12"/>
    <mergeCell ref="Y12:Z12"/>
    <mergeCell ref="C32:D32"/>
    <mergeCell ref="C33:D33"/>
    <mergeCell ref="G12:H12"/>
    <mergeCell ref="Q12:R12"/>
    <mergeCell ref="C31:D31"/>
    <mergeCell ref="C34:D34"/>
    <mergeCell ref="C35:D35"/>
    <mergeCell ref="C26:D26"/>
    <mergeCell ref="C27:D27"/>
    <mergeCell ref="C28:D28"/>
    <mergeCell ref="C29:D29"/>
    <mergeCell ref="I12:J12"/>
    <mergeCell ref="K12:L12"/>
    <mergeCell ref="C12:D13"/>
    <mergeCell ref="C30:D30"/>
    <mergeCell ref="C36:D36"/>
    <mergeCell ref="AI172:AK172"/>
    <mergeCell ref="R126:S126"/>
    <mergeCell ref="T177:U177"/>
    <mergeCell ref="V177:W177"/>
    <mergeCell ref="X177:Y177"/>
    <mergeCell ref="AH104:AJ104"/>
    <mergeCell ref="T126:U126"/>
    <mergeCell ref="V126:W126"/>
    <mergeCell ref="X126:Y126"/>
    <mergeCell ref="Z172:AB172"/>
    <mergeCell ref="Z166:AB166"/>
    <mergeCell ref="Z154:AB154"/>
    <mergeCell ref="AF154:AH154"/>
    <mergeCell ref="W172:Y172"/>
    <mergeCell ref="W166:Y166"/>
    <mergeCell ref="Q166:S166"/>
    <mergeCell ref="T166:V166"/>
    <mergeCell ref="T140:U140"/>
    <mergeCell ref="V140:W140"/>
    <mergeCell ref="P177:Q177"/>
    <mergeCell ref="AF172:AH172"/>
    <mergeCell ref="T154:V154"/>
    <mergeCell ref="S104:U104"/>
    <mergeCell ref="AC172:AE172"/>
  </mergeCells>
  <phoneticPr fontId="59" type="noConversion"/>
  <hyperlinks>
    <hyperlink ref="H2" location="INDICE!A1" display="INDICE" xr:uid="{00000000-0004-0000-0700-000000000000}"/>
    <hyperlink ref="Z54" r:id="rId1" xr:uid="{00000000-0004-0000-0700-000001000000}"/>
  </hyperlinks>
  <pageMargins left="0.70866141732283472" right="0.70866141732283472" top="0.74803149606299213" bottom="0.74803149606299213" header="0.31496062992125984" footer="0.31496062992125984"/>
  <pageSetup paperSize="9" scale="10" fitToHeight="0"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71"/>
  <sheetViews>
    <sheetView showGridLines="0" topLeftCell="A10" zoomScale="70" zoomScaleNormal="70" workbookViewId="0">
      <selection activeCell="D13" sqref="D13:D35"/>
    </sheetView>
  </sheetViews>
  <sheetFormatPr defaultColWidth="10.6640625" defaultRowHeight="14"/>
  <cols>
    <col min="1" max="1" width="4.08203125" customWidth="1"/>
    <col min="2" max="2" width="16.58203125" customWidth="1"/>
    <col min="3" max="3" width="10.9140625" customWidth="1"/>
    <col min="4" max="4" width="15.58203125" customWidth="1"/>
    <col min="5" max="5" width="10.58203125" customWidth="1"/>
    <col min="6" max="6" width="21.83203125" customWidth="1"/>
  </cols>
  <sheetData>
    <row r="2" spans="2:7" ht="14.5" customHeight="1">
      <c r="B2" s="2616" t="s">
        <v>1094</v>
      </c>
      <c r="C2" s="2616"/>
      <c r="D2" s="2616"/>
      <c r="E2" s="2616"/>
      <c r="F2" s="2616"/>
      <c r="G2" s="2081" t="s">
        <v>898</v>
      </c>
    </row>
    <row r="3" spans="2:7" ht="14.5" customHeight="1" thickBot="1"/>
    <row r="4" spans="2:7" ht="14.5" customHeight="1" thickBot="1">
      <c r="B4" s="53" t="s">
        <v>82</v>
      </c>
      <c r="C4" s="2605" t="s">
        <v>315</v>
      </c>
      <c r="D4" s="2606"/>
      <c r="E4" s="2606"/>
      <c r="F4" s="2607"/>
    </row>
    <row r="5" spans="2:7" ht="14.5" customHeight="1" thickBot="1">
      <c r="B5" s="54" t="s">
        <v>426</v>
      </c>
      <c r="C5" s="2605" t="s">
        <v>1092</v>
      </c>
      <c r="D5" s="2606"/>
      <c r="E5" s="2606"/>
      <c r="F5" s="2607"/>
    </row>
    <row r="6" spans="2:7" ht="14.5" customHeight="1" thickBot="1">
      <c r="B6" s="54" t="s">
        <v>427</v>
      </c>
      <c r="C6" s="2605" t="s">
        <v>893</v>
      </c>
      <c r="D6" s="2606"/>
      <c r="E6" s="2606"/>
      <c r="F6" s="2607"/>
    </row>
    <row r="7" spans="2:7" ht="14.5" customHeight="1" thickBot="1">
      <c r="B7" s="54" t="s">
        <v>428</v>
      </c>
      <c r="C7" s="2605" t="s">
        <v>597</v>
      </c>
      <c r="D7" s="2606"/>
      <c r="E7" s="2606"/>
      <c r="F7" s="2607"/>
    </row>
    <row r="8" spans="2:7" ht="14.5" customHeight="1" thickBot="1">
      <c r="B8" s="2608" t="s">
        <v>429</v>
      </c>
      <c r="C8" s="2609"/>
      <c r="D8" s="2608" t="s">
        <v>430</v>
      </c>
      <c r="E8" s="2609"/>
      <c r="F8" s="67" t="s">
        <v>894</v>
      </c>
    </row>
    <row r="9" spans="2:7" ht="49" customHeight="1" thickBot="1">
      <c r="B9" s="2610" t="s">
        <v>423</v>
      </c>
      <c r="C9" s="2611"/>
      <c r="D9" s="17" t="s">
        <v>421</v>
      </c>
      <c r="E9" s="17" t="s">
        <v>424</v>
      </c>
      <c r="F9" s="17" t="s">
        <v>432</v>
      </c>
    </row>
    <row r="10" spans="2:7" ht="29.5" customHeight="1" thickBot="1">
      <c r="B10" s="2612"/>
      <c r="C10" s="2613"/>
      <c r="D10" s="20" t="s">
        <v>422</v>
      </c>
      <c r="E10" s="20" t="s">
        <v>864</v>
      </c>
      <c r="F10" s="20" t="s">
        <v>865</v>
      </c>
    </row>
    <row r="11" spans="2:7" ht="29.5" customHeight="1" thickBot="1">
      <c r="B11" s="2614"/>
      <c r="C11" s="2615"/>
      <c r="D11" s="20"/>
      <c r="E11" s="20" t="s">
        <v>425</v>
      </c>
      <c r="F11" s="20" t="s">
        <v>866</v>
      </c>
      <c r="G11" s="28"/>
    </row>
    <row r="12" spans="2:7" ht="15" thickBot="1">
      <c r="B12" s="2617" t="s">
        <v>123</v>
      </c>
      <c r="C12" s="2618"/>
      <c r="D12" s="19" t="s">
        <v>198</v>
      </c>
      <c r="E12" s="19" t="s">
        <v>199</v>
      </c>
      <c r="F12" s="19" t="s">
        <v>200</v>
      </c>
    </row>
    <row r="13" spans="2:7" ht="15" thickTop="1" thickBot="1">
      <c r="B13" s="70" t="s">
        <v>21</v>
      </c>
      <c r="C13" s="73" t="s">
        <v>1196</v>
      </c>
      <c r="D13" s="819">
        <f>'Datos de Actividad'!T14</f>
        <v>522643.96630611242</v>
      </c>
      <c r="E13" s="637">
        <v>86.403931848792425</v>
      </c>
      <c r="F13" s="72">
        <f>D13*E13*(10^-6)</f>
        <v>45.158493645895895</v>
      </c>
    </row>
    <row r="14" spans="2:7" ht="14.5" thickBot="1">
      <c r="B14" s="70"/>
      <c r="C14" s="73" t="s">
        <v>1197</v>
      </c>
      <c r="D14" s="819">
        <f>'Datos de Actividad'!T15</f>
        <v>262262.60745905043</v>
      </c>
      <c r="E14" s="637">
        <v>107.26406159655311</v>
      </c>
      <c r="F14" s="72">
        <f t="shared" ref="F14:F31" si="0">D14*E14*(10^-6)</f>
        <v>28.13135248096021</v>
      </c>
    </row>
    <row r="15" spans="2:7" ht="14.5" thickBot="1">
      <c r="B15" s="70"/>
      <c r="C15" s="73" t="s">
        <v>1198</v>
      </c>
      <c r="D15" s="819">
        <f>'Datos de Actividad'!T16</f>
        <v>47621.018911879481</v>
      </c>
      <c r="E15" s="637">
        <v>104.30793808418392</v>
      </c>
      <c r="F15" s="72">
        <f t="shared" si="0"/>
        <v>4.9672502921660762</v>
      </c>
    </row>
    <row r="16" spans="2:7" ht="14.5" thickBot="1">
      <c r="B16" s="70" t="s">
        <v>37</v>
      </c>
      <c r="C16" s="73" t="s">
        <v>1196</v>
      </c>
      <c r="D16" s="819">
        <f>'Datos de Actividad'!T17</f>
        <v>153765.65032782167</v>
      </c>
      <c r="E16" s="637">
        <v>72.771228933594983</v>
      </c>
      <c r="F16" s="72">
        <f t="shared" si="0"/>
        <v>11.189715342129025</v>
      </c>
    </row>
    <row r="17" spans="2:6" ht="14.5" thickBot="1">
      <c r="B17" s="70"/>
      <c r="C17" s="73" t="s">
        <v>1197</v>
      </c>
      <c r="D17" s="819">
        <f>'Datos de Actividad'!T18</f>
        <v>73566.157569364281</v>
      </c>
      <c r="E17" s="637">
        <v>101.72987550511584</v>
      </c>
      <c r="F17" s="72">
        <f t="shared" si="0"/>
        <v>7.4838760509211628</v>
      </c>
    </row>
    <row r="18" spans="2:6" ht="14.5" thickBot="1">
      <c r="B18" s="70"/>
      <c r="C18" s="73" t="s">
        <v>1198</v>
      </c>
      <c r="D18" s="819">
        <f>'Datos de Actividad'!T19</f>
        <v>28493.155275733567</v>
      </c>
      <c r="E18" s="637">
        <v>83.486330857341883</v>
      </c>
      <c r="F18" s="72">
        <f t="shared" si="0"/>
        <v>2.3787889885195086</v>
      </c>
    </row>
    <row r="19" spans="2:6" ht="14.5" thickBot="1">
      <c r="B19" s="70" t="s">
        <v>38</v>
      </c>
      <c r="C19" s="73" t="s">
        <v>1196</v>
      </c>
      <c r="D19" s="819">
        <f>'Datos de Actividad'!T20</f>
        <v>250720.66956215684</v>
      </c>
      <c r="E19" s="637">
        <v>68.63841700283713</v>
      </c>
      <c r="F19" s="72">
        <f t="shared" si="0"/>
        <v>17.209069868637854</v>
      </c>
    </row>
    <row r="20" spans="2:6" ht="14.5" thickBot="1">
      <c r="B20" s="70"/>
      <c r="C20" s="73" t="s">
        <v>1197</v>
      </c>
      <c r="D20" s="819">
        <f>'Datos de Actividad'!T21</f>
        <v>401964.13996071398</v>
      </c>
      <c r="E20" s="637">
        <v>95.165192404202358</v>
      </c>
      <c r="F20" s="72">
        <f t="shared" si="0"/>
        <v>38.252994718951065</v>
      </c>
    </row>
    <row r="21" spans="2:6" ht="14.5" thickBot="1">
      <c r="B21" s="70"/>
      <c r="C21" s="73" t="s">
        <v>1198</v>
      </c>
      <c r="D21" s="819">
        <f>'Datos de Actividad'!T22</f>
        <v>74474.300818076343</v>
      </c>
      <c r="E21" s="637">
        <v>91.432747271884352</v>
      </c>
      <c r="F21" s="72">
        <f t="shared" si="0"/>
        <v>6.809389924949464</v>
      </c>
    </row>
    <row r="22" spans="2:6" ht="14.5" thickBot="1">
      <c r="B22" s="70" t="s">
        <v>39</v>
      </c>
      <c r="C22" s="73" t="s">
        <v>1196</v>
      </c>
      <c r="D22" s="819">
        <f>'Datos de Actividad'!T23</f>
        <v>1036600.4716451596</v>
      </c>
      <c r="E22" s="637">
        <v>40.729428095277775</v>
      </c>
      <c r="F22" s="72">
        <f t="shared" si="0"/>
        <v>42.220144373402555</v>
      </c>
    </row>
    <row r="23" spans="2:6" ht="14.5" thickBot="1">
      <c r="B23" s="70"/>
      <c r="C23" s="73" t="s">
        <v>1197</v>
      </c>
      <c r="D23" s="819">
        <f>'Datos de Actividad'!T24</f>
        <v>984149.28078222531</v>
      </c>
      <c r="E23" s="637">
        <v>54.996917694396991</v>
      </c>
      <c r="F23" s="72">
        <f t="shared" si="0"/>
        <v>54.125176994180038</v>
      </c>
    </row>
    <row r="24" spans="2:6" ht="14.5" thickBot="1">
      <c r="B24" s="70"/>
      <c r="C24" s="73" t="s">
        <v>1198</v>
      </c>
      <c r="D24" s="819">
        <f>'Datos de Actividad'!T25</f>
        <v>220534.27465427853</v>
      </c>
      <c r="E24" s="637">
        <v>59.139809744364136</v>
      </c>
      <c r="F24" s="72">
        <f t="shared" si="0"/>
        <v>13.042355045165378</v>
      </c>
    </row>
    <row r="25" spans="2:6" ht="14.5" thickBot="1">
      <c r="B25" s="2601" t="s">
        <v>40</v>
      </c>
      <c r="C25" s="2602"/>
      <c r="D25" s="819">
        <f>'Datos de Actividad'!T26</f>
        <v>3839</v>
      </c>
      <c r="E25" s="824">
        <v>68</v>
      </c>
      <c r="F25" s="72">
        <f t="shared" si="0"/>
        <v>0.26105200000000001</v>
      </c>
    </row>
    <row r="26" spans="2:6" ht="14.5" thickBot="1">
      <c r="B26" s="2601" t="s">
        <v>26</v>
      </c>
      <c r="C26" s="2602"/>
      <c r="D26" s="819">
        <f>'Datos de Actividad'!T27</f>
        <v>498952.01288858696</v>
      </c>
      <c r="E26" s="824">
        <v>5</v>
      </c>
      <c r="F26" s="72">
        <f t="shared" si="0"/>
        <v>2.4947600644429349</v>
      </c>
    </row>
    <row r="27" spans="2:6" ht="14.5" thickBot="1">
      <c r="B27" s="2601" t="s">
        <v>27</v>
      </c>
      <c r="C27" s="2602"/>
      <c r="D27" s="819">
        <f>'Datos de Actividad'!T28</f>
        <v>21745.306881266912</v>
      </c>
      <c r="E27" s="824">
        <v>5</v>
      </c>
      <c r="F27" s="72">
        <f t="shared" si="0"/>
        <v>0.10872653440633455</v>
      </c>
    </row>
    <row r="28" spans="2:6" ht="14.5" thickBot="1">
      <c r="B28" s="2601" t="s">
        <v>752</v>
      </c>
      <c r="C28" s="2602"/>
      <c r="D28" s="819">
        <f>'Datos de Actividad'!T29</f>
        <v>20949.78325706191</v>
      </c>
      <c r="E28" s="824">
        <v>8</v>
      </c>
      <c r="F28" s="72">
        <f t="shared" si="0"/>
        <v>0.16759826605649528</v>
      </c>
    </row>
    <row r="29" spans="2:6" ht="14.5" thickBot="1">
      <c r="B29" s="2601" t="s">
        <v>28</v>
      </c>
      <c r="C29" s="2602"/>
      <c r="D29" s="819">
        <f>'Datos de Actividad'!T30</f>
        <v>260479.01686208553</v>
      </c>
      <c r="E29" s="824">
        <v>18</v>
      </c>
      <c r="F29" s="72">
        <f t="shared" si="0"/>
        <v>4.6886223035175387</v>
      </c>
    </row>
    <row r="30" spans="2:6" ht="14.5" thickBot="1">
      <c r="B30" s="2601" t="s">
        <v>42</v>
      </c>
      <c r="C30" s="2602"/>
      <c r="D30" s="819">
        <f>'Datos de Actividad'!T31</f>
        <v>147168.66440364331</v>
      </c>
      <c r="E30" s="824">
        <v>10</v>
      </c>
      <c r="F30" s="72">
        <f t="shared" si="0"/>
        <v>1.4716866440364331</v>
      </c>
    </row>
    <row r="31" spans="2:6" ht="14.5" customHeight="1" thickBot="1">
      <c r="B31" s="2601" t="s">
        <v>30</v>
      </c>
      <c r="C31" s="2602"/>
      <c r="D31" s="819">
        <f>'Datos de Actividad'!T32</f>
        <v>1682662.0402921853</v>
      </c>
      <c r="E31" s="824">
        <v>1</v>
      </c>
      <c r="F31" s="72">
        <f t="shared" si="0"/>
        <v>1.6826620402921852</v>
      </c>
    </row>
    <row r="32" spans="2:6" ht="14.5" thickBot="1">
      <c r="B32" s="2601" t="s">
        <v>31</v>
      </c>
      <c r="C32" s="2602"/>
      <c r="D32" s="819">
        <f>'Datos de Actividad'!T33</f>
        <v>30205479.452054795</v>
      </c>
      <c r="E32" s="20" t="s">
        <v>41</v>
      </c>
      <c r="F32" s="20" t="s">
        <v>41</v>
      </c>
    </row>
    <row r="33" spans="2:9" ht="14.5" customHeight="1" thickBot="1">
      <c r="B33" s="2601" t="s">
        <v>34</v>
      </c>
      <c r="C33" s="2602"/>
      <c r="D33" s="819">
        <f>'Datos de Actividad'!T34</f>
        <v>13510000</v>
      </c>
      <c r="E33" s="20" t="s">
        <v>41</v>
      </c>
      <c r="F33" s="20" t="s">
        <v>41</v>
      </c>
    </row>
    <row r="34" spans="2:9" ht="14.5" customHeight="1" thickBot="1">
      <c r="B34" s="2601" t="s">
        <v>32</v>
      </c>
      <c r="C34" s="2602"/>
      <c r="D34" s="819">
        <f>'Datos de Actividad'!T35</f>
        <v>70291.655854557073</v>
      </c>
      <c r="E34" s="20" t="s">
        <v>41</v>
      </c>
      <c r="F34" s="20" t="s">
        <v>41</v>
      </c>
    </row>
    <row r="35" spans="2:9" ht="14.5" customHeight="1" thickBot="1">
      <c r="B35" s="2601" t="s">
        <v>33</v>
      </c>
      <c r="C35" s="2602"/>
      <c r="D35" s="819">
        <f>'Datos de Actividad'!T36</f>
        <v>198716.80964562827</v>
      </c>
      <c r="E35" s="20" t="s">
        <v>41</v>
      </c>
      <c r="F35" s="20" t="s">
        <v>41</v>
      </c>
    </row>
    <row r="36" spans="2:9" ht="14.5" customHeight="1" thickBot="1">
      <c r="B36" s="2603" t="s">
        <v>46</v>
      </c>
      <c r="C36" s="2604"/>
      <c r="D36" s="68"/>
      <c r="E36" s="69"/>
      <c r="F36" s="295">
        <f>SUM(F13:F35)</f>
        <v>281.84371557863017</v>
      </c>
    </row>
    <row r="37" spans="2:9" ht="16" customHeight="1" thickBot="1">
      <c r="B37" s="2599"/>
      <c r="C37" s="2600"/>
      <c r="D37" s="2600"/>
      <c r="E37" s="2600"/>
      <c r="F37" s="2600"/>
    </row>
    <row r="38" spans="2:9" ht="14.5" thickBot="1"/>
    <row r="39" spans="2:9" s="296" customFormat="1" ht="20" customHeight="1">
      <c r="B39" s="770" t="s">
        <v>1091</v>
      </c>
      <c r="C39" s="299"/>
      <c r="D39" s="299"/>
      <c r="E39" s="299"/>
      <c r="F39" s="299"/>
      <c r="I39" s="767"/>
    </row>
    <row r="40" spans="2:9" s="296" customFormat="1" ht="15" customHeight="1">
      <c r="B40" s="301" t="s">
        <v>433</v>
      </c>
      <c r="C40" s="302" t="s">
        <v>308</v>
      </c>
      <c r="D40" s="302" t="s">
        <v>3</v>
      </c>
      <c r="E40" s="302" t="s">
        <v>306</v>
      </c>
      <c r="F40" s="302"/>
    </row>
    <row r="41" spans="2:9" s="296" customFormat="1" ht="15" customHeight="1">
      <c r="B41" s="775" t="s">
        <v>1101</v>
      </c>
      <c r="C41" s="777" t="s">
        <v>457</v>
      </c>
      <c r="D41" s="777" t="s">
        <v>1100</v>
      </c>
      <c r="E41" s="776" t="s">
        <v>2220</v>
      </c>
      <c r="F41" s="776"/>
      <c r="G41" s="296" t="s">
        <v>43</v>
      </c>
    </row>
    <row r="42" spans="2:9" s="296" customFormat="1" ht="15" customHeight="1">
      <c r="B42" s="773" t="s">
        <v>21</v>
      </c>
      <c r="C42" s="771" t="s">
        <v>915</v>
      </c>
      <c r="D42" s="771" t="s">
        <v>2386</v>
      </c>
      <c r="E42" s="771" t="s">
        <v>2234</v>
      </c>
      <c r="F42" s="771"/>
      <c r="G42" s="296" t="s">
        <v>43</v>
      </c>
    </row>
    <row r="43" spans="2:9" s="296" customFormat="1" ht="15" customHeight="1">
      <c r="B43" s="773" t="s">
        <v>21</v>
      </c>
      <c r="C43" s="771" t="s">
        <v>442</v>
      </c>
      <c r="D43" s="771" t="s">
        <v>2229</v>
      </c>
      <c r="E43" s="771" t="s">
        <v>2221</v>
      </c>
      <c r="F43" s="771"/>
      <c r="G43" s="296" t="s">
        <v>43</v>
      </c>
    </row>
    <row r="44" spans="2:9" s="296" customFormat="1" ht="15" customHeight="1">
      <c r="B44" s="773" t="s">
        <v>434</v>
      </c>
      <c r="C44" s="771" t="s">
        <v>915</v>
      </c>
      <c r="D44" s="771" t="s">
        <v>1225</v>
      </c>
      <c r="E44" s="771" t="s">
        <v>2222</v>
      </c>
      <c r="F44" s="771"/>
      <c r="G44" s="296" t="s">
        <v>43</v>
      </c>
    </row>
    <row r="45" spans="2:9" s="296" customFormat="1" ht="15" customHeight="1">
      <c r="B45" s="773" t="s">
        <v>37</v>
      </c>
      <c r="C45" s="771" t="s">
        <v>442</v>
      </c>
      <c r="D45" s="771" t="s">
        <v>2230</v>
      </c>
      <c r="E45" s="771" t="s">
        <v>2221</v>
      </c>
      <c r="F45" s="771"/>
      <c r="G45" s="296" t="s">
        <v>43</v>
      </c>
    </row>
    <row r="46" spans="2:9" s="296" customFormat="1" ht="15" customHeight="1">
      <c r="B46" s="773" t="s">
        <v>38</v>
      </c>
      <c r="C46" s="771" t="s">
        <v>915</v>
      </c>
      <c r="D46" s="771" t="s">
        <v>2387</v>
      </c>
      <c r="E46" s="771" t="s">
        <v>2223</v>
      </c>
      <c r="F46" s="771"/>
      <c r="G46" s="296" t="s">
        <v>43</v>
      </c>
    </row>
    <row r="47" spans="2:9" s="296" customFormat="1" ht="15" customHeight="1">
      <c r="B47" s="773" t="s">
        <v>38</v>
      </c>
      <c r="C47" s="771" t="s">
        <v>442</v>
      </c>
      <c r="D47" s="771" t="s">
        <v>2230</v>
      </c>
      <c r="E47" s="771" t="s">
        <v>2221</v>
      </c>
      <c r="F47" s="771"/>
      <c r="G47" s="296" t="s">
        <v>43</v>
      </c>
    </row>
    <row r="48" spans="2:9" s="296" customFormat="1" ht="15" customHeight="1">
      <c r="B48" s="773" t="s">
        <v>39</v>
      </c>
      <c r="C48" s="771" t="s">
        <v>915</v>
      </c>
      <c r="D48" s="771" t="s">
        <v>1225</v>
      </c>
      <c r="E48" s="771" t="s">
        <v>2231</v>
      </c>
      <c r="F48" s="771"/>
      <c r="G48" s="296" t="s">
        <v>43</v>
      </c>
    </row>
    <row r="49" spans="2:7" s="296" customFormat="1" ht="15" customHeight="1">
      <c r="B49" s="773" t="s">
        <v>39</v>
      </c>
      <c r="C49" s="771" t="s">
        <v>442</v>
      </c>
      <c r="D49" s="771" t="s">
        <v>2230</v>
      </c>
      <c r="E49" s="771" t="s">
        <v>2221</v>
      </c>
      <c r="F49" s="771"/>
      <c r="G49" s="296" t="s">
        <v>43</v>
      </c>
    </row>
    <row r="50" spans="2:7" s="296" customFormat="1" ht="15" customHeight="1">
      <c r="B50" s="773" t="s">
        <v>40</v>
      </c>
      <c r="C50" s="771" t="s">
        <v>915</v>
      </c>
      <c r="D50" s="772" t="s">
        <v>2224</v>
      </c>
      <c r="E50" s="771"/>
      <c r="F50" s="771"/>
      <c r="G50" s="296" t="s">
        <v>43</v>
      </c>
    </row>
    <row r="51" spans="2:7" s="296" customFormat="1" ht="15" customHeight="1">
      <c r="B51" s="773" t="s">
        <v>40</v>
      </c>
      <c r="C51" s="771" t="s">
        <v>442</v>
      </c>
      <c r="D51" s="772" t="s">
        <v>435</v>
      </c>
      <c r="E51" s="771"/>
      <c r="F51" s="771"/>
      <c r="G51" s="296" t="s">
        <v>43</v>
      </c>
    </row>
    <row r="52" spans="2:7" s="296" customFormat="1" ht="15" customHeight="1">
      <c r="B52" s="773" t="s">
        <v>26</v>
      </c>
      <c r="C52" s="771" t="s">
        <v>915</v>
      </c>
      <c r="D52" s="771" t="s">
        <v>2388</v>
      </c>
      <c r="E52" s="771" t="s">
        <v>2232</v>
      </c>
      <c r="F52" s="771"/>
      <c r="G52" s="296" t="s">
        <v>43</v>
      </c>
    </row>
    <row r="53" spans="2:7" s="296" customFormat="1" ht="15" customHeight="1">
      <c r="B53" s="773" t="s">
        <v>26</v>
      </c>
      <c r="C53" s="771" t="s">
        <v>442</v>
      </c>
      <c r="D53" s="771" t="s">
        <v>436</v>
      </c>
      <c r="E53" s="771"/>
      <c r="F53" s="771"/>
      <c r="G53" s="296" t="s">
        <v>43</v>
      </c>
    </row>
    <row r="54" spans="2:7" s="296" customFormat="1" ht="15" customHeight="1">
      <c r="B54" s="774" t="s">
        <v>27</v>
      </c>
      <c r="C54" s="771" t="s">
        <v>915</v>
      </c>
      <c r="D54" s="771" t="s">
        <v>2389</v>
      </c>
      <c r="E54" s="772" t="s">
        <v>2232</v>
      </c>
      <c r="F54" s="772"/>
      <c r="G54" s="296" t="s">
        <v>43</v>
      </c>
    </row>
    <row r="55" spans="2:7" s="296" customFormat="1" ht="15" customHeight="1">
      <c r="B55" s="774" t="s">
        <v>27</v>
      </c>
      <c r="C55" s="771" t="s">
        <v>442</v>
      </c>
      <c r="D55" s="771" t="s">
        <v>436</v>
      </c>
      <c r="E55" s="772"/>
      <c r="F55" s="772"/>
      <c r="G55" s="296" t="s">
        <v>43</v>
      </c>
    </row>
    <row r="56" spans="2:7" s="296" customFormat="1" ht="15" customHeight="1">
      <c r="B56" s="774" t="s">
        <v>752</v>
      </c>
      <c r="C56" s="771" t="s">
        <v>915</v>
      </c>
      <c r="D56" s="772" t="s">
        <v>1085</v>
      </c>
      <c r="E56" s="772" t="s">
        <v>2225</v>
      </c>
      <c r="F56" s="772"/>
      <c r="G56" s="296" t="s">
        <v>43</v>
      </c>
    </row>
    <row r="57" spans="2:7" s="296" customFormat="1" ht="15" customHeight="1">
      <c r="B57" s="774" t="s">
        <v>752</v>
      </c>
      <c r="C57" s="771" t="s">
        <v>442</v>
      </c>
      <c r="D57" s="771" t="s">
        <v>436</v>
      </c>
      <c r="E57" s="772" t="s">
        <v>1095</v>
      </c>
      <c r="F57" s="772"/>
      <c r="G57" s="296" t="s">
        <v>43</v>
      </c>
    </row>
    <row r="58" spans="2:7" s="296" customFormat="1" ht="15" customHeight="1">
      <c r="B58" s="774" t="s">
        <v>28</v>
      </c>
      <c r="C58" s="771" t="s">
        <v>915</v>
      </c>
      <c r="D58" s="771" t="s">
        <v>2389</v>
      </c>
      <c r="E58" s="772" t="s">
        <v>2232</v>
      </c>
      <c r="F58" s="772"/>
      <c r="G58" s="296" t="s">
        <v>43</v>
      </c>
    </row>
    <row r="59" spans="2:7" s="296" customFormat="1" ht="15" customHeight="1">
      <c r="B59" s="774" t="s">
        <v>28</v>
      </c>
      <c r="C59" s="771" t="s">
        <v>442</v>
      </c>
      <c r="D59" s="771" t="s">
        <v>436</v>
      </c>
      <c r="E59" s="772"/>
      <c r="F59" s="772"/>
      <c r="G59" s="296" t="s">
        <v>43</v>
      </c>
    </row>
    <row r="60" spans="2:7" s="296" customFormat="1" ht="15" customHeight="1">
      <c r="B60" s="774" t="s">
        <v>42</v>
      </c>
      <c r="C60" s="771" t="s">
        <v>915</v>
      </c>
      <c r="D60" s="772" t="s">
        <v>2389</v>
      </c>
      <c r="E60" s="772" t="s">
        <v>2232</v>
      </c>
      <c r="F60" s="772"/>
      <c r="G60" s="296" t="s">
        <v>43</v>
      </c>
    </row>
    <row r="61" spans="2:7" s="296" customFormat="1" ht="15" customHeight="1">
      <c r="B61" s="774" t="s">
        <v>42</v>
      </c>
      <c r="C61" s="771" t="s">
        <v>442</v>
      </c>
      <c r="D61" s="771" t="s">
        <v>436</v>
      </c>
      <c r="E61" s="772"/>
      <c r="F61" s="772"/>
      <c r="G61" s="296" t="s">
        <v>43</v>
      </c>
    </row>
    <row r="62" spans="2:7" s="296" customFormat="1" ht="15" customHeight="1">
      <c r="B62" s="774" t="s">
        <v>30</v>
      </c>
      <c r="C62" s="771" t="s">
        <v>915</v>
      </c>
      <c r="D62" s="772" t="s">
        <v>2390</v>
      </c>
      <c r="E62" s="772" t="s">
        <v>2233</v>
      </c>
      <c r="F62" s="772"/>
      <c r="G62" s="296" t="s">
        <v>43</v>
      </c>
    </row>
    <row r="63" spans="2:7" s="296" customFormat="1" ht="15" customHeight="1">
      <c r="B63" s="774" t="s">
        <v>30</v>
      </c>
      <c r="C63" s="771" t="s">
        <v>442</v>
      </c>
      <c r="D63" s="771" t="s">
        <v>436</v>
      </c>
      <c r="E63" s="772"/>
      <c r="F63" s="772"/>
      <c r="G63" s="296" t="s">
        <v>43</v>
      </c>
    </row>
    <row r="64" spans="2:7" s="296" customFormat="1" ht="15" customHeight="1">
      <c r="B64" s="774" t="s">
        <v>31</v>
      </c>
      <c r="C64" s="771" t="s">
        <v>915</v>
      </c>
      <c r="D64" s="772" t="s">
        <v>2226</v>
      </c>
      <c r="E64" s="772" t="s">
        <v>2227</v>
      </c>
      <c r="F64" s="772"/>
      <c r="G64" s="296" t="s">
        <v>43</v>
      </c>
    </row>
    <row r="65" spans="2:7" s="296" customFormat="1" ht="15" customHeight="1">
      <c r="B65" s="774" t="s">
        <v>31</v>
      </c>
      <c r="C65" s="771" t="s">
        <v>442</v>
      </c>
      <c r="D65" s="772" t="s">
        <v>41</v>
      </c>
      <c r="E65" s="772"/>
      <c r="F65" s="772"/>
      <c r="G65" s="296" t="s">
        <v>43</v>
      </c>
    </row>
    <row r="66" spans="2:7" s="296" customFormat="1" ht="15" customHeight="1">
      <c r="B66" s="774" t="s">
        <v>32</v>
      </c>
      <c r="C66" s="771" t="s">
        <v>915</v>
      </c>
      <c r="D66" s="772" t="s">
        <v>1175</v>
      </c>
      <c r="E66" s="772" t="s">
        <v>437</v>
      </c>
      <c r="F66" s="772"/>
      <c r="G66" s="296" t="s">
        <v>43</v>
      </c>
    </row>
    <row r="67" spans="2:7" s="296" customFormat="1" ht="15" customHeight="1">
      <c r="B67" s="774" t="s">
        <v>32</v>
      </c>
      <c r="C67" s="771" t="s">
        <v>442</v>
      </c>
      <c r="D67" s="772" t="s">
        <v>41</v>
      </c>
      <c r="E67" s="772"/>
      <c r="F67" s="772"/>
      <c r="G67" s="296" t="s">
        <v>43</v>
      </c>
    </row>
    <row r="68" spans="2:7" s="296" customFormat="1" ht="15" customHeight="1">
      <c r="B68" s="774" t="s">
        <v>438</v>
      </c>
      <c r="C68" s="771" t="s">
        <v>915</v>
      </c>
      <c r="D68" s="772" t="s">
        <v>2391</v>
      </c>
      <c r="E68" s="772" t="s">
        <v>439</v>
      </c>
      <c r="F68" s="772"/>
      <c r="G68" s="296" t="s">
        <v>43</v>
      </c>
    </row>
    <row r="69" spans="2:7" s="296" customFormat="1" ht="15" customHeight="1">
      <c r="B69" s="774" t="s">
        <v>438</v>
      </c>
      <c r="C69" s="771" t="s">
        <v>442</v>
      </c>
      <c r="D69" s="772" t="s">
        <v>41</v>
      </c>
      <c r="E69" s="772"/>
      <c r="F69" s="772"/>
      <c r="G69" s="296" t="s">
        <v>43</v>
      </c>
    </row>
    <row r="70" spans="2:7" s="296" customFormat="1" ht="15" customHeight="1">
      <c r="B70" s="774" t="s">
        <v>34</v>
      </c>
      <c r="C70" s="771" t="s">
        <v>915</v>
      </c>
      <c r="D70" s="772" t="s">
        <v>2226</v>
      </c>
      <c r="E70" s="772" t="s">
        <v>440</v>
      </c>
      <c r="F70" s="772"/>
      <c r="G70" s="296" t="s">
        <v>43</v>
      </c>
    </row>
    <row r="71" spans="2:7" s="296" customFormat="1" ht="15" customHeight="1">
      <c r="B71" s="774" t="s">
        <v>34</v>
      </c>
      <c r="C71" s="771" t="s">
        <v>442</v>
      </c>
      <c r="D71" s="772" t="s">
        <v>41</v>
      </c>
      <c r="E71" s="772"/>
      <c r="F71" s="772"/>
      <c r="G71" s="296" t="s">
        <v>43</v>
      </c>
    </row>
  </sheetData>
  <mergeCells count="22">
    <mergeCell ref="B12:C12"/>
    <mergeCell ref="B25:C25"/>
    <mergeCell ref="C6:F6"/>
    <mergeCell ref="B26:C26"/>
    <mergeCell ref="B27:C27"/>
    <mergeCell ref="C5:F5"/>
    <mergeCell ref="B8:C8"/>
    <mergeCell ref="B9:C11"/>
    <mergeCell ref="B2:F2"/>
    <mergeCell ref="D8:E8"/>
    <mergeCell ref="C4:F4"/>
    <mergeCell ref="C7:F7"/>
    <mergeCell ref="B37:F37"/>
    <mergeCell ref="B33:C33"/>
    <mergeCell ref="B34:C34"/>
    <mergeCell ref="B35:C35"/>
    <mergeCell ref="B28:C28"/>
    <mergeCell ref="B36:C36"/>
    <mergeCell ref="B31:C31"/>
    <mergeCell ref="B29:C29"/>
    <mergeCell ref="B30:C30"/>
    <mergeCell ref="B32:C32"/>
  </mergeCells>
  <phoneticPr fontId="59" type="noConversion"/>
  <hyperlinks>
    <hyperlink ref="G2" location="INDICE!A1" display="INDICE" xr:uid="{00000000-0004-0000-08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A87"/>
  <sheetViews>
    <sheetView showGridLines="0" topLeftCell="A4" zoomScale="70" zoomScaleNormal="70" workbookViewId="0">
      <selection activeCell="E13" sqref="E13"/>
    </sheetView>
  </sheetViews>
  <sheetFormatPr defaultColWidth="10.6640625" defaultRowHeight="14"/>
  <cols>
    <col min="1" max="1" width="4.08203125" customWidth="1"/>
    <col min="2" max="2" width="16.58203125" customWidth="1"/>
    <col min="3" max="3" width="10.9140625" customWidth="1"/>
    <col min="4" max="5" width="10.6640625" customWidth="1"/>
    <col min="6" max="6" width="14.25" customWidth="1"/>
    <col min="7" max="10" width="10.6640625" customWidth="1"/>
    <col min="11" max="11" width="14.33203125" customWidth="1"/>
    <col min="12" max="16" width="10.6640625" customWidth="1"/>
    <col min="17" max="17" width="14.33203125" customWidth="1"/>
    <col min="18" max="19" width="10.6640625" customWidth="1"/>
    <col min="20" max="20" width="15.5" customWidth="1"/>
    <col min="21" max="21" width="10.6640625" customWidth="1"/>
  </cols>
  <sheetData>
    <row r="2" spans="2:23" ht="14.5" customHeight="1">
      <c r="B2" s="2616" t="s">
        <v>1094</v>
      </c>
      <c r="C2" s="2616"/>
      <c r="D2" s="2616"/>
      <c r="E2" s="2616"/>
      <c r="F2" s="2616"/>
      <c r="G2" s="2616"/>
      <c r="H2" s="2616"/>
      <c r="I2" s="2616"/>
      <c r="J2" s="2616"/>
      <c r="K2" s="2616"/>
      <c r="L2" s="2616"/>
      <c r="M2" s="2616"/>
      <c r="N2" s="2616"/>
      <c r="O2" s="2616"/>
      <c r="P2" s="2616"/>
      <c r="Q2" s="2616"/>
      <c r="R2" s="2616"/>
      <c r="S2" s="2616"/>
      <c r="T2" s="2616"/>
      <c r="U2" s="641"/>
    </row>
    <row r="3" spans="2:23" ht="14.5" customHeight="1" thickBot="1">
      <c r="U3" s="2081" t="s">
        <v>898</v>
      </c>
    </row>
    <row r="4" spans="2:23" ht="14.5" customHeight="1" thickBot="1">
      <c r="B4" s="53" t="s">
        <v>82</v>
      </c>
      <c r="C4" s="2605" t="s">
        <v>315</v>
      </c>
      <c r="D4" s="2606"/>
      <c r="E4" s="2606"/>
      <c r="F4" s="2606"/>
      <c r="G4" s="2606"/>
      <c r="H4" s="2606"/>
      <c r="I4" s="2606"/>
      <c r="J4" s="2606"/>
      <c r="K4" s="2606"/>
      <c r="L4" s="2606"/>
      <c r="M4" s="2606"/>
      <c r="N4" s="2606"/>
      <c r="O4" s="2606"/>
      <c r="P4" s="2606"/>
      <c r="Q4" s="2606"/>
      <c r="R4" s="2606"/>
      <c r="S4" s="2606"/>
      <c r="T4" s="2607"/>
    </row>
    <row r="5" spans="2:23" ht="14.5" customHeight="1" thickBot="1">
      <c r="B5" s="54" t="s">
        <v>426</v>
      </c>
      <c r="C5" s="2619" t="s">
        <v>1263</v>
      </c>
      <c r="D5" s="2620"/>
      <c r="E5" s="2620"/>
      <c r="F5" s="2620"/>
      <c r="G5" s="2620"/>
      <c r="H5" s="2620"/>
      <c r="I5" s="2620"/>
      <c r="J5" s="2620"/>
      <c r="K5" s="2620"/>
      <c r="L5" s="2620"/>
      <c r="M5" s="2620"/>
      <c r="N5" s="2620"/>
      <c r="O5" s="2620"/>
      <c r="P5" s="2620"/>
      <c r="Q5" s="2620"/>
      <c r="R5" s="2620"/>
      <c r="S5" s="2620"/>
      <c r="T5" s="2621"/>
    </row>
    <row r="6" spans="2:23" ht="14.5" customHeight="1" thickBot="1">
      <c r="B6" s="54" t="s">
        <v>427</v>
      </c>
      <c r="C6" s="2605" t="s">
        <v>110</v>
      </c>
      <c r="D6" s="2606"/>
      <c r="E6" s="2606"/>
      <c r="F6" s="2606"/>
      <c r="G6" s="2606"/>
      <c r="H6" s="2606"/>
      <c r="I6" s="2606"/>
      <c r="J6" s="2606"/>
      <c r="K6" s="2606"/>
      <c r="L6" s="2606"/>
      <c r="M6" s="2606"/>
      <c r="N6" s="2606"/>
      <c r="O6" s="2606"/>
      <c r="P6" s="2606"/>
      <c r="Q6" s="2606"/>
      <c r="R6" s="2606"/>
      <c r="S6" s="2606"/>
      <c r="T6" s="2607"/>
    </row>
    <row r="7" spans="2:23" ht="14.5" customHeight="1" thickBot="1">
      <c r="B7" s="54" t="s">
        <v>428</v>
      </c>
      <c r="C7" s="2605" t="s">
        <v>597</v>
      </c>
      <c r="D7" s="2606"/>
      <c r="E7" s="2606"/>
      <c r="F7" s="2606"/>
      <c r="G7" s="2606"/>
      <c r="H7" s="2606"/>
      <c r="I7" s="2606"/>
      <c r="J7" s="2606"/>
      <c r="K7" s="2606"/>
      <c r="L7" s="2606"/>
      <c r="M7" s="2606"/>
      <c r="N7" s="2606"/>
      <c r="O7" s="2606"/>
      <c r="P7" s="2606"/>
      <c r="Q7" s="2606"/>
      <c r="R7" s="2606"/>
      <c r="S7" s="2606"/>
      <c r="T7" s="2607"/>
    </row>
    <row r="8" spans="2:23" ht="14.5" customHeight="1" thickBot="1">
      <c r="B8" s="2608" t="s">
        <v>429</v>
      </c>
      <c r="C8" s="2609"/>
      <c r="D8" s="820"/>
      <c r="E8" s="2608" t="s">
        <v>1273</v>
      </c>
      <c r="F8" s="2622"/>
      <c r="G8" s="2609"/>
      <c r="H8" s="2608" t="s">
        <v>431</v>
      </c>
      <c r="I8" s="2622"/>
      <c r="J8" s="2622"/>
      <c r="K8" s="2622"/>
      <c r="L8" s="2622"/>
      <c r="M8" s="2622"/>
      <c r="N8" s="2622"/>
      <c r="O8" s="2622"/>
      <c r="P8" s="2622"/>
      <c r="Q8" s="2622"/>
      <c r="R8" s="2622"/>
      <c r="S8" s="2622"/>
      <c r="T8" s="2609"/>
    </row>
    <row r="9" spans="2:23" ht="49" customHeight="1" thickBot="1">
      <c r="B9" s="2610" t="s">
        <v>423</v>
      </c>
      <c r="C9" s="2611"/>
      <c r="D9" s="17" t="s">
        <v>421</v>
      </c>
      <c r="E9" s="17" t="s">
        <v>1267</v>
      </c>
      <c r="F9" s="17" t="s">
        <v>446</v>
      </c>
      <c r="G9" s="17" t="s">
        <v>1272</v>
      </c>
      <c r="H9" s="2623" t="s">
        <v>1281</v>
      </c>
      <c r="I9" s="2624"/>
      <c r="J9" s="2624"/>
      <c r="K9" s="2624"/>
      <c r="L9" s="2624"/>
      <c r="M9" s="2625"/>
      <c r="N9" s="2623" t="s">
        <v>1283</v>
      </c>
      <c r="O9" s="2624"/>
      <c r="P9" s="2624"/>
      <c r="Q9" s="2624"/>
      <c r="R9" s="2624"/>
      <c r="S9" s="2625"/>
      <c r="T9" s="844" t="s">
        <v>1093</v>
      </c>
    </row>
    <row r="10" spans="2:23" ht="59.5" customHeight="1" thickBot="1">
      <c r="B10" s="2612"/>
      <c r="C10" s="2613"/>
      <c r="D10" s="20" t="s">
        <v>422</v>
      </c>
      <c r="E10" s="20" t="s">
        <v>1265</v>
      </c>
      <c r="F10" s="20" t="s">
        <v>44</v>
      </c>
      <c r="G10" s="20" t="s">
        <v>864</v>
      </c>
      <c r="H10" s="194" t="s">
        <v>1274</v>
      </c>
      <c r="I10" s="194" t="s">
        <v>1275</v>
      </c>
      <c r="J10" s="194" t="s">
        <v>1276</v>
      </c>
      <c r="K10" s="194" t="s">
        <v>1277</v>
      </c>
      <c r="L10" s="194" t="s">
        <v>1309</v>
      </c>
      <c r="M10" s="20" t="s">
        <v>1279</v>
      </c>
      <c r="N10" s="194" t="s">
        <v>1274</v>
      </c>
      <c r="O10" s="194" t="s">
        <v>1275</v>
      </c>
      <c r="P10" s="194" t="s">
        <v>1276</v>
      </c>
      <c r="Q10" s="194" t="s">
        <v>1277</v>
      </c>
      <c r="R10" s="194" t="s">
        <v>1278</v>
      </c>
      <c r="S10" s="20" t="s">
        <v>1279</v>
      </c>
      <c r="T10" s="20" t="s">
        <v>1449</v>
      </c>
    </row>
    <row r="11" spans="2:23" ht="43" customHeight="1" thickBot="1">
      <c r="B11" s="2614"/>
      <c r="C11" s="2615"/>
      <c r="D11" s="20"/>
      <c r="E11" s="20" t="s">
        <v>1266</v>
      </c>
      <c r="F11" s="20" t="s">
        <v>1271</v>
      </c>
      <c r="G11" s="826"/>
      <c r="H11" s="2626" t="s">
        <v>1280</v>
      </c>
      <c r="I11" s="2627"/>
      <c r="J11" s="2627"/>
      <c r="K11" s="2627"/>
      <c r="L11" s="2627"/>
      <c r="M11" s="2628"/>
      <c r="N11" s="2626" t="s">
        <v>1282</v>
      </c>
      <c r="O11" s="2627"/>
      <c r="P11" s="2627"/>
      <c r="Q11" s="2627"/>
      <c r="R11" s="2627"/>
      <c r="S11" s="2628"/>
      <c r="T11" s="20" t="s">
        <v>1314</v>
      </c>
      <c r="U11" s="825"/>
    </row>
    <row r="12" spans="2:23" ht="15" thickBot="1">
      <c r="B12" s="2617" t="s">
        <v>123</v>
      </c>
      <c r="C12" s="2618"/>
      <c r="D12" s="19" t="s">
        <v>198</v>
      </c>
      <c r="E12" s="19" t="s">
        <v>1268</v>
      </c>
      <c r="F12" s="19" t="s">
        <v>1269</v>
      </c>
      <c r="G12" s="19" t="s">
        <v>1264</v>
      </c>
      <c r="H12" s="840" t="s">
        <v>512</v>
      </c>
      <c r="I12" s="840" t="s">
        <v>512</v>
      </c>
      <c r="J12" s="840" t="s">
        <v>512</v>
      </c>
      <c r="K12" s="840" t="s">
        <v>512</v>
      </c>
      <c r="L12" s="840" t="s">
        <v>512</v>
      </c>
      <c r="M12" s="29" t="s">
        <v>512</v>
      </c>
      <c r="N12" s="19" t="s">
        <v>199</v>
      </c>
      <c r="O12" s="19" t="s">
        <v>199</v>
      </c>
      <c r="P12" s="19" t="s">
        <v>199</v>
      </c>
      <c r="Q12" s="19" t="s">
        <v>199</v>
      </c>
      <c r="R12" s="19" t="s">
        <v>199</v>
      </c>
      <c r="S12" s="19" t="s">
        <v>199</v>
      </c>
      <c r="T12" s="19" t="s">
        <v>201</v>
      </c>
      <c r="U12" s="2096"/>
      <c r="V12" s="2096"/>
      <c r="W12" s="830"/>
    </row>
    <row r="13" spans="2:23" ht="15" thickTop="1" thickBot="1">
      <c r="B13" s="70" t="s">
        <v>21</v>
      </c>
      <c r="C13" s="73" t="s">
        <v>1196</v>
      </c>
      <c r="D13" s="819">
        <f>'3A1 Fermentación E.'!D13</f>
        <v>522643.96630611242</v>
      </c>
      <c r="E13" s="828">
        <v>7.9</v>
      </c>
      <c r="F13" s="831">
        <v>419.01067420736035</v>
      </c>
      <c r="G13" s="831">
        <f>(E13*(F13/1000))*365</f>
        <v>1208.2172790769237</v>
      </c>
      <c r="H13" s="841">
        <v>0.63456632653061229</v>
      </c>
      <c r="I13" s="839">
        <v>7.8409863945578238</v>
      </c>
      <c r="J13" s="839">
        <v>12.651785714285714</v>
      </c>
      <c r="K13" s="839">
        <v>2.5510204081632654E-2</v>
      </c>
      <c r="L13" s="839">
        <v>4.4451530612244881</v>
      </c>
      <c r="M13" s="839">
        <v>74.401998299319729</v>
      </c>
      <c r="N13" s="841">
        <v>1.7</v>
      </c>
      <c r="O13" s="841">
        <v>1.7</v>
      </c>
      <c r="P13" s="839">
        <v>0.1</v>
      </c>
      <c r="Q13" s="839">
        <v>22.6</v>
      </c>
      <c r="R13" s="839">
        <v>0.9</v>
      </c>
      <c r="S13" s="839">
        <v>0.6</v>
      </c>
      <c r="T13" s="923">
        <f>((D13*G13*H13%*N13)/(10^3))+((D13*G13*I13%*O13)/(10^3))+((D13*G13*J13%*P13)/(10^3))+((D13*G13*K13%*Q13)/(10^3))+((D13*G13*L13%*R13)/(10^3))+((D13*G13*M13%*S13)/(10^3))</f>
        <v>409771.77993049164</v>
      </c>
    </row>
    <row r="14" spans="2:23" ht="14.5" thickBot="1">
      <c r="B14" s="70"/>
      <c r="C14" s="73" t="s">
        <v>1197</v>
      </c>
      <c r="D14" s="819">
        <f>'3A1 Fermentación E.'!D14</f>
        <v>262262.60745905043</v>
      </c>
      <c r="E14" s="828">
        <v>7.1</v>
      </c>
      <c r="F14" s="831">
        <v>605.43488810806105</v>
      </c>
      <c r="G14" s="831">
        <f t="shared" ref="G14:G35" si="0">(E14*(F14/1000))*365</f>
        <v>1568.9845125320398</v>
      </c>
      <c r="H14" s="841">
        <v>3.2467532467532464E-2</v>
      </c>
      <c r="I14" s="839">
        <v>3.896103896103896E-2</v>
      </c>
      <c r="J14" s="839">
        <v>6.2077922077922079</v>
      </c>
      <c r="K14" s="839">
        <v>0.64935064935064934</v>
      </c>
      <c r="L14" s="839">
        <v>0.3125</v>
      </c>
      <c r="M14" s="839">
        <v>92.758928571428569</v>
      </c>
      <c r="N14" s="841">
        <v>4.4000000000000004</v>
      </c>
      <c r="O14" s="841">
        <v>4.4000000000000004</v>
      </c>
      <c r="P14" s="839">
        <v>0.9</v>
      </c>
      <c r="Q14" s="839">
        <v>63.6</v>
      </c>
      <c r="R14" s="839">
        <v>1.7</v>
      </c>
      <c r="S14" s="839">
        <v>0.6</v>
      </c>
      <c r="T14" s="923">
        <f t="shared" ref="T14:T35" si="1">((D14*G14*H14%*N14)/(10^3))+((D14*G14*I14%*O14)/(10^3))+((D14*G14*J14%*P14)/(10^3))+((D14*G14*K14%*Q14)/(10^3))+((D14*G14*L14%*R14)/(10^3))+((D14*G14*M14%*S14)/(10^3))</f>
        <v>425421.38254834973</v>
      </c>
    </row>
    <row r="15" spans="2:23" ht="14.5" thickBot="1">
      <c r="B15" s="70"/>
      <c r="C15" s="73" t="s">
        <v>1198</v>
      </c>
      <c r="D15" s="819">
        <f>'3A1 Fermentación E.'!D15</f>
        <v>47621.018911879481</v>
      </c>
      <c r="E15" s="828">
        <v>8.6</v>
      </c>
      <c r="F15" s="831">
        <v>425.22941873008864</v>
      </c>
      <c r="G15" s="831">
        <f t="shared" si="0"/>
        <v>1334.7951453937483</v>
      </c>
      <c r="H15" s="841">
        <v>9.6153846153846159E-2</v>
      </c>
      <c r="I15" s="839">
        <v>3.8461538461538464E-2</v>
      </c>
      <c r="J15" s="839">
        <v>0</v>
      </c>
      <c r="K15" s="839">
        <v>0</v>
      </c>
      <c r="L15" s="839">
        <v>0</v>
      </c>
      <c r="M15" s="839">
        <v>99.865384615384613</v>
      </c>
      <c r="N15" s="841">
        <v>4.4000000000000004</v>
      </c>
      <c r="O15" s="841">
        <v>4.4000000000000004</v>
      </c>
      <c r="P15" s="839">
        <v>0.9</v>
      </c>
      <c r="Q15" s="839">
        <v>66.2</v>
      </c>
      <c r="R15" s="839">
        <v>1.7</v>
      </c>
      <c r="S15" s="839">
        <v>0.6</v>
      </c>
      <c r="T15" s="923">
        <f>((D15*G15*H15%*N15)/(10^3))+((D15*G15*I15%*O15)/(10^3))+((D15*G15*J15%*P15)/(10^3))+((D15*G15*K15%*Q15)/(10^3))+((D15*G15*L15%*R15)/(10^3))+((D15*G15*M15%*S15)/(10^3))</f>
        <v>38463.738784548485</v>
      </c>
    </row>
    <row r="16" spans="2:23" ht="14.5" thickBot="1">
      <c r="B16" s="70" t="s">
        <v>37</v>
      </c>
      <c r="C16" s="73" t="s">
        <v>1196</v>
      </c>
      <c r="D16" s="819">
        <f>'3A1 Fermentación E.'!D16</f>
        <v>153765.65032782167</v>
      </c>
      <c r="E16" s="828">
        <v>7.9</v>
      </c>
      <c r="F16" s="831">
        <v>513.28179824561391</v>
      </c>
      <c r="G16" s="831">
        <f t="shared" si="0"/>
        <v>1480.0480652412277</v>
      </c>
      <c r="H16" s="841">
        <v>0</v>
      </c>
      <c r="I16" s="839">
        <v>4.8148148148148149</v>
      </c>
      <c r="J16" s="839">
        <v>0.12222222222222222</v>
      </c>
      <c r="K16" s="839">
        <v>0</v>
      </c>
      <c r="L16" s="839">
        <v>0</v>
      </c>
      <c r="M16" s="839">
        <v>95.062962962962956</v>
      </c>
      <c r="N16" s="841">
        <v>1.7</v>
      </c>
      <c r="O16" s="841">
        <v>1.7</v>
      </c>
      <c r="P16" s="839">
        <v>0.1</v>
      </c>
      <c r="Q16" s="839">
        <v>22.6</v>
      </c>
      <c r="R16" s="839">
        <v>0.9</v>
      </c>
      <c r="S16" s="839">
        <v>0.6</v>
      </c>
      <c r="T16" s="923">
        <f t="shared" si="1"/>
        <v>148462.59537001295</v>
      </c>
    </row>
    <row r="17" spans="2:20" ht="14.5" thickBot="1">
      <c r="B17" s="70"/>
      <c r="C17" s="73" t="s">
        <v>1197</v>
      </c>
      <c r="D17" s="819">
        <f>'3A1 Fermentación E.'!D17</f>
        <v>73566.157569364281</v>
      </c>
      <c r="E17" s="828">
        <v>7.1</v>
      </c>
      <c r="F17" s="831">
        <v>535.6165240382536</v>
      </c>
      <c r="G17" s="831">
        <f t="shared" si="0"/>
        <v>1388.050222045134</v>
      </c>
      <c r="H17" s="841">
        <v>0</v>
      </c>
      <c r="I17" s="839">
        <v>3.5714285714285712E-2</v>
      </c>
      <c r="J17" s="839">
        <v>0.5714285714285714</v>
      </c>
      <c r="K17" s="839">
        <v>8.3333333333333339</v>
      </c>
      <c r="L17" s="839">
        <v>0</v>
      </c>
      <c r="M17" s="839">
        <v>91.05952380952381</v>
      </c>
      <c r="N17" s="841">
        <v>4.4000000000000004</v>
      </c>
      <c r="O17" s="841">
        <v>4.4000000000000004</v>
      </c>
      <c r="P17" s="839">
        <v>0.9</v>
      </c>
      <c r="Q17" s="839">
        <v>66.2</v>
      </c>
      <c r="R17" s="839">
        <v>1.7</v>
      </c>
      <c r="S17" s="839">
        <v>0.6</v>
      </c>
      <c r="T17" s="923">
        <f t="shared" si="1"/>
        <v>619802.33057192573</v>
      </c>
    </row>
    <row r="18" spans="2:20" ht="14.5" thickBot="1">
      <c r="B18" s="70"/>
      <c r="C18" s="73" t="s">
        <v>1198</v>
      </c>
      <c r="D18" s="819">
        <f>'3A1 Fermentación E.'!D18</f>
        <v>28493.155275733567</v>
      </c>
      <c r="E18" s="828">
        <v>8.6</v>
      </c>
      <c r="F18" s="831">
        <v>460.03681752873558</v>
      </c>
      <c r="G18" s="831">
        <f t="shared" si="0"/>
        <v>1444.0555702227009</v>
      </c>
      <c r="H18" s="841">
        <v>0</v>
      </c>
      <c r="I18" s="839">
        <v>0</v>
      </c>
      <c r="J18" s="839">
        <v>2.1739130434782608</v>
      </c>
      <c r="K18" s="839">
        <v>0</v>
      </c>
      <c r="L18" s="839">
        <v>0</v>
      </c>
      <c r="M18" s="839">
        <v>97.826086956521749</v>
      </c>
      <c r="N18" s="841">
        <v>4.4000000000000004</v>
      </c>
      <c r="O18" s="841">
        <v>4.4000000000000004</v>
      </c>
      <c r="P18" s="839">
        <v>0.9</v>
      </c>
      <c r="Q18" s="839">
        <v>66.2</v>
      </c>
      <c r="R18" s="839">
        <v>1.7</v>
      </c>
      <c r="S18" s="839">
        <v>0.6</v>
      </c>
      <c r="T18" s="923">
        <f t="shared" si="1"/>
        <v>24955.761272545667</v>
      </c>
    </row>
    <row r="19" spans="2:20" ht="14.5" thickBot="1">
      <c r="B19" s="70" t="s">
        <v>38</v>
      </c>
      <c r="C19" s="73" t="s">
        <v>1196</v>
      </c>
      <c r="D19" s="819">
        <f>'3A1 Fermentación E.'!D19</f>
        <v>250720.66956215684</v>
      </c>
      <c r="E19" s="828">
        <v>7.9</v>
      </c>
      <c r="F19" s="831">
        <v>375.7195952415147</v>
      </c>
      <c r="G19" s="831">
        <f t="shared" si="0"/>
        <v>1083.3874528789077</v>
      </c>
      <c r="H19" s="841">
        <v>0</v>
      </c>
      <c r="I19" s="839">
        <v>4.8148148148148149</v>
      </c>
      <c r="J19" s="839">
        <v>0.12222222222222222</v>
      </c>
      <c r="K19" s="839">
        <v>0</v>
      </c>
      <c r="L19" s="839">
        <v>0</v>
      </c>
      <c r="M19" s="839">
        <v>95.062962962962956</v>
      </c>
      <c r="N19" s="841">
        <v>1.7</v>
      </c>
      <c r="O19" s="841">
        <v>1.7</v>
      </c>
      <c r="P19" s="839">
        <v>0.1</v>
      </c>
      <c r="Q19" s="839">
        <v>22.6</v>
      </c>
      <c r="R19" s="839">
        <v>0.9</v>
      </c>
      <c r="S19" s="839">
        <v>0.6</v>
      </c>
      <c r="T19" s="923">
        <f t="shared" si="1"/>
        <v>177196.78586661615</v>
      </c>
    </row>
    <row r="20" spans="2:20" ht="14.5" thickBot="1">
      <c r="B20" s="70"/>
      <c r="C20" s="73" t="s">
        <v>1197</v>
      </c>
      <c r="D20" s="819">
        <f>'3A1 Fermentación E.'!D20</f>
        <v>401964.13996071398</v>
      </c>
      <c r="E20" s="828">
        <v>7.1</v>
      </c>
      <c r="F20" s="831">
        <v>430.6086368415809</v>
      </c>
      <c r="G20" s="831">
        <f t="shared" si="0"/>
        <v>1115.9222823749569</v>
      </c>
      <c r="H20" s="841">
        <v>0</v>
      </c>
      <c r="I20" s="839">
        <v>3.5714285714285712E-2</v>
      </c>
      <c r="J20" s="839">
        <v>0.5714285714285714</v>
      </c>
      <c r="K20" s="839">
        <v>8.3333333333333339</v>
      </c>
      <c r="L20" s="839">
        <v>0</v>
      </c>
      <c r="M20" s="839">
        <v>91.05952380952381</v>
      </c>
      <c r="N20" s="841">
        <v>4.4000000000000004</v>
      </c>
      <c r="O20" s="841">
        <v>4.4000000000000004</v>
      </c>
      <c r="P20" s="839">
        <v>0.9</v>
      </c>
      <c r="Q20" s="839">
        <v>66.2</v>
      </c>
      <c r="R20" s="839">
        <v>1.7</v>
      </c>
      <c r="S20" s="839">
        <v>0.6</v>
      </c>
      <c r="T20" s="923">
        <f t="shared" si="1"/>
        <v>2722646.2146279891</v>
      </c>
    </row>
    <row r="21" spans="2:20" ht="14.5" thickBot="1">
      <c r="B21" s="70"/>
      <c r="C21" s="73" t="s">
        <v>1198</v>
      </c>
      <c r="D21" s="819">
        <f>'3A1 Fermentación E.'!D21</f>
        <v>74474.300818076343</v>
      </c>
      <c r="E21" s="828">
        <v>8.6</v>
      </c>
      <c r="F21" s="831">
        <v>427.92285873825921</v>
      </c>
      <c r="G21" s="831">
        <f t="shared" si="0"/>
        <v>1343.2498535793954</v>
      </c>
      <c r="H21" s="841">
        <v>0</v>
      </c>
      <c r="I21" s="839">
        <v>0</v>
      </c>
      <c r="J21" s="839">
        <v>2.1739130434782608</v>
      </c>
      <c r="K21" s="839">
        <v>0</v>
      </c>
      <c r="L21" s="839">
        <v>0</v>
      </c>
      <c r="M21" s="839">
        <v>97.826086956521749</v>
      </c>
      <c r="N21" s="841">
        <v>4.4000000000000004</v>
      </c>
      <c r="O21" s="841">
        <v>4.4000000000000004</v>
      </c>
      <c r="P21" s="839">
        <v>0.9</v>
      </c>
      <c r="Q21" s="839">
        <v>66.2</v>
      </c>
      <c r="R21" s="839">
        <v>1.7</v>
      </c>
      <c r="S21" s="839">
        <v>0.6</v>
      </c>
      <c r="T21" s="923">
        <f t="shared" si="1"/>
        <v>60674.975290733004</v>
      </c>
    </row>
    <row r="22" spans="2:20" ht="14.5" thickBot="1">
      <c r="B22" s="70" t="s">
        <v>39</v>
      </c>
      <c r="C22" s="73" t="s">
        <v>1196</v>
      </c>
      <c r="D22" s="819">
        <f>'3A1 Fermentación E.'!D22</f>
        <v>1036600.4716451596</v>
      </c>
      <c r="E22" s="828">
        <v>7.9</v>
      </c>
      <c r="F22" s="831">
        <v>165.49942954700774</v>
      </c>
      <c r="G22" s="831">
        <f t="shared" si="0"/>
        <v>477.21760509879687</v>
      </c>
      <c r="H22" s="841">
        <v>0</v>
      </c>
      <c r="I22" s="839">
        <v>4.8148148148148149</v>
      </c>
      <c r="J22" s="839">
        <v>0.12222222222222222</v>
      </c>
      <c r="K22" s="839">
        <v>0</v>
      </c>
      <c r="L22" s="839">
        <v>0</v>
      </c>
      <c r="M22" s="839">
        <v>95.062962962962956</v>
      </c>
      <c r="N22" s="841">
        <v>1.7</v>
      </c>
      <c r="O22" s="841">
        <v>1.7</v>
      </c>
      <c r="P22" s="839">
        <v>0.1</v>
      </c>
      <c r="Q22" s="839">
        <v>22.6</v>
      </c>
      <c r="R22" s="839">
        <v>0.9</v>
      </c>
      <c r="S22" s="839">
        <v>0.6</v>
      </c>
      <c r="T22" s="923">
        <f t="shared" si="1"/>
        <v>322708.01990841096</v>
      </c>
    </row>
    <row r="23" spans="2:20" ht="14.5" thickBot="1">
      <c r="B23" s="70"/>
      <c r="C23" s="73" t="s">
        <v>1197</v>
      </c>
      <c r="D23" s="819">
        <f>'3A1 Fermentación E.'!D23</f>
        <v>984149.28078222531</v>
      </c>
      <c r="E23" s="828">
        <v>7.1</v>
      </c>
      <c r="F23" s="831">
        <v>174.42758948089647</v>
      </c>
      <c r="G23" s="831">
        <f t="shared" si="0"/>
        <v>452.02909813974316</v>
      </c>
      <c r="H23" s="841">
        <v>0</v>
      </c>
      <c r="I23" s="839">
        <v>3.5714285714285712E-2</v>
      </c>
      <c r="J23" s="839">
        <v>0.5714285714285714</v>
      </c>
      <c r="K23" s="839">
        <v>8.3333333333333339</v>
      </c>
      <c r="L23" s="839">
        <v>0</v>
      </c>
      <c r="M23" s="839">
        <v>91.05952380952381</v>
      </c>
      <c r="N23" s="841">
        <v>4.4000000000000004</v>
      </c>
      <c r="O23" s="841">
        <v>4.4000000000000004</v>
      </c>
      <c r="P23" s="839">
        <v>0.9</v>
      </c>
      <c r="Q23" s="839">
        <v>66.2</v>
      </c>
      <c r="R23" s="839">
        <v>1.7</v>
      </c>
      <c r="S23" s="839">
        <v>0.6</v>
      </c>
      <c r="T23" s="923">
        <f t="shared" si="1"/>
        <v>2700208.6467597899</v>
      </c>
    </row>
    <row r="24" spans="2:20" ht="14.5" thickBot="1">
      <c r="B24" s="70"/>
      <c r="C24" s="73" t="s">
        <v>1198</v>
      </c>
      <c r="D24" s="819">
        <f>'3A1 Fermentación E.'!D24</f>
        <v>220534.27465427853</v>
      </c>
      <c r="E24" s="828">
        <v>8.6</v>
      </c>
      <c r="F24" s="831">
        <v>174.58748571170864</v>
      </c>
      <c r="G24" s="831">
        <f t="shared" si="0"/>
        <v>548.03011764905341</v>
      </c>
      <c r="H24" s="841">
        <v>0</v>
      </c>
      <c r="I24" s="839">
        <v>0</v>
      </c>
      <c r="J24" s="839">
        <v>2.1739130434782608</v>
      </c>
      <c r="K24" s="839">
        <v>0</v>
      </c>
      <c r="L24" s="839">
        <v>0</v>
      </c>
      <c r="M24" s="839">
        <v>97.826086956521749</v>
      </c>
      <c r="N24" s="841">
        <v>4.4000000000000004</v>
      </c>
      <c r="O24" s="841">
        <v>4.4000000000000004</v>
      </c>
      <c r="P24" s="839">
        <v>0.9</v>
      </c>
      <c r="Q24" s="839">
        <v>66.2</v>
      </c>
      <c r="R24" s="839">
        <v>1.7</v>
      </c>
      <c r="S24" s="839">
        <v>0.6</v>
      </c>
      <c r="T24" s="923">
        <f t="shared" si="1"/>
        <v>73303.868328601704</v>
      </c>
    </row>
    <row r="25" spans="2:20" ht="14.5" thickBot="1">
      <c r="B25" s="2601" t="s">
        <v>40</v>
      </c>
      <c r="C25" s="2602"/>
      <c r="D25" s="819">
        <f>'3A1 Fermentación E.'!D25</f>
        <v>3839</v>
      </c>
      <c r="E25" s="828">
        <v>11.2</v>
      </c>
      <c r="F25" s="831">
        <v>315</v>
      </c>
      <c r="G25" s="831">
        <f t="shared" si="0"/>
        <v>1287.7199999999998</v>
      </c>
      <c r="H25" s="842">
        <v>2</v>
      </c>
      <c r="I25" s="839">
        <v>0</v>
      </c>
      <c r="J25" s="839">
        <v>0</v>
      </c>
      <c r="K25" s="839">
        <v>0</v>
      </c>
      <c r="L25" s="638">
        <v>5</v>
      </c>
      <c r="M25" s="831">
        <v>93</v>
      </c>
      <c r="N25" s="841">
        <v>4.4000000000000004</v>
      </c>
      <c r="O25" s="841">
        <v>4.4000000000000004</v>
      </c>
      <c r="P25" s="839">
        <v>0.9</v>
      </c>
      <c r="Q25" s="839">
        <v>66.2</v>
      </c>
      <c r="R25" s="839">
        <v>1.7</v>
      </c>
      <c r="S25" s="839">
        <v>0.6</v>
      </c>
      <c r="T25" s="923">
        <f t="shared" si="1"/>
        <v>3613.7402254799995</v>
      </c>
    </row>
    <row r="26" spans="2:20" ht="14.5" thickBot="1">
      <c r="B26" s="2601" t="s">
        <v>26</v>
      </c>
      <c r="C26" s="2602"/>
      <c r="D26" s="819">
        <f>'3A1 Fermentación E.'!D26</f>
        <v>498952.01288858696</v>
      </c>
      <c r="E26" s="828">
        <v>8.3000000000000007</v>
      </c>
      <c r="F26" s="831">
        <v>31</v>
      </c>
      <c r="G26" s="831">
        <f t="shared" si="0"/>
        <v>93.914500000000004</v>
      </c>
      <c r="H26" s="842">
        <v>17</v>
      </c>
      <c r="I26" s="638">
        <v>3</v>
      </c>
      <c r="J26" s="839">
        <v>0</v>
      </c>
      <c r="K26" s="839">
        <v>0</v>
      </c>
      <c r="L26" s="839">
        <v>0</v>
      </c>
      <c r="M26" s="831">
        <v>80</v>
      </c>
      <c r="N26" s="842">
        <v>1.7</v>
      </c>
      <c r="O26" s="842">
        <v>1.7</v>
      </c>
      <c r="P26" s="842">
        <v>1.7</v>
      </c>
      <c r="Q26" s="842">
        <v>1.7</v>
      </c>
      <c r="R26" s="839">
        <v>0.9</v>
      </c>
      <c r="S26" s="839">
        <v>0.6</v>
      </c>
      <c r="T26" s="923">
        <f t="shared" si="1"/>
        <v>38424.239627828661</v>
      </c>
    </row>
    <row r="27" spans="2:20" ht="14.5" thickBot="1">
      <c r="B27" s="2601" t="s">
        <v>27</v>
      </c>
      <c r="C27" s="2602"/>
      <c r="D27" s="819">
        <f>'3A1 Fermentación E.'!D27</f>
        <v>21745.306881266912</v>
      </c>
      <c r="E27" s="828">
        <v>10.4</v>
      </c>
      <c r="F27" s="831">
        <v>24</v>
      </c>
      <c r="G27" s="831">
        <f t="shared" si="0"/>
        <v>91.103999999999999</v>
      </c>
      <c r="H27" s="842">
        <v>17</v>
      </c>
      <c r="I27" s="638">
        <v>3</v>
      </c>
      <c r="J27" s="839">
        <v>0</v>
      </c>
      <c r="K27" s="839">
        <v>0</v>
      </c>
      <c r="L27" s="839">
        <v>0</v>
      </c>
      <c r="M27" s="831">
        <v>80</v>
      </c>
      <c r="N27" s="842">
        <v>1.7</v>
      </c>
      <c r="O27" s="842">
        <v>1.7</v>
      </c>
      <c r="P27" s="842">
        <v>1.7</v>
      </c>
      <c r="Q27" s="842">
        <v>1.7</v>
      </c>
      <c r="R27" s="839">
        <v>0.9</v>
      </c>
      <c r="S27" s="839">
        <v>0.6</v>
      </c>
      <c r="T27" s="923">
        <f t="shared" si="1"/>
        <v>1624.4892392509714</v>
      </c>
    </row>
    <row r="28" spans="2:20" ht="14.5" thickBot="1">
      <c r="B28" s="2601" t="s">
        <v>752</v>
      </c>
      <c r="C28" s="2602"/>
      <c r="D28" s="819">
        <f>'3A1 Fermentación E.'!D28</f>
        <v>20949.78325706191</v>
      </c>
      <c r="E28" s="828">
        <v>8.3000000000000007</v>
      </c>
      <c r="F28" s="831">
        <v>65</v>
      </c>
      <c r="G28" s="831">
        <f t="shared" si="0"/>
        <v>196.91750000000005</v>
      </c>
      <c r="H28" s="842">
        <v>17</v>
      </c>
      <c r="I28" s="638">
        <v>3</v>
      </c>
      <c r="J28" s="638">
        <v>0</v>
      </c>
      <c r="K28" s="638">
        <v>0</v>
      </c>
      <c r="L28" s="638">
        <v>0</v>
      </c>
      <c r="M28" s="831">
        <v>80</v>
      </c>
      <c r="N28" s="842">
        <v>1.7</v>
      </c>
      <c r="O28" s="638">
        <v>1.7</v>
      </c>
      <c r="P28" s="638">
        <v>1.7</v>
      </c>
      <c r="Q28" s="638">
        <v>1.7</v>
      </c>
      <c r="R28" s="638">
        <v>0.9</v>
      </c>
      <c r="S28" s="839">
        <v>0.6</v>
      </c>
      <c r="T28" s="923">
        <f t="shared" si="1"/>
        <v>3382.8107345084418</v>
      </c>
    </row>
    <row r="29" spans="2:20" ht="14.5" thickBot="1">
      <c r="B29" s="2601" t="s">
        <v>28</v>
      </c>
      <c r="C29" s="2602"/>
      <c r="D29" s="819">
        <f>'3A1 Fermentación E.'!D29</f>
        <v>260479.01686208553</v>
      </c>
      <c r="E29" s="828">
        <v>7.2</v>
      </c>
      <c r="F29" s="831">
        <v>238</v>
      </c>
      <c r="G29" s="831">
        <f t="shared" si="0"/>
        <v>625.46400000000006</v>
      </c>
      <c r="H29" s="842">
        <v>17</v>
      </c>
      <c r="I29" s="638">
        <v>3</v>
      </c>
      <c r="J29" s="638">
        <v>0</v>
      </c>
      <c r="K29" s="638">
        <v>0</v>
      </c>
      <c r="L29" s="638">
        <v>0</v>
      </c>
      <c r="M29" s="831">
        <v>80</v>
      </c>
      <c r="N29" s="842">
        <v>7</v>
      </c>
      <c r="O29" s="842">
        <v>7</v>
      </c>
      <c r="P29" s="842">
        <v>7</v>
      </c>
      <c r="Q29" s="842">
        <v>7</v>
      </c>
      <c r="R29" s="638">
        <v>2.6</v>
      </c>
      <c r="S29" s="839">
        <v>0.6</v>
      </c>
      <c r="T29" s="923">
        <f t="shared" si="1"/>
        <v>306290.06586893962</v>
      </c>
    </row>
    <row r="30" spans="2:20" ht="14.5" customHeight="1" thickBot="1">
      <c r="B30" s="2601" t="s">
        <v>42</v>
      </c>
      <c r="C30" s="2602"/>
      <c r="D30" s="819">
        <f>'3A1 Fermentación E.'!D30</f>
        <v>147168.66440364331</v>
      </c>
      <c r="E30" s="828">
        <v>7.2</v>
      </c>
      <c r="F30" s="831">
        <v>130</v>
      </c>
      <c r="G30" s="831">
        <f t="shared" si="0"/>
        <v>341.64000000000004</v>
      </c>
      <c r="H30" s="842">
        <v>17</v>
      </c>
      <c r="I30" s="638">
        <v>3</v>
      </c>
      <c r="J30" s="638">
        <v>0</v>
      </c>
      <c r="K30" s="638">
        <v>0</v>
      </c>
      <c r="L30" s="638">
        <v>0</v>
      </c>
      <c r="M30" s="831">
        <v>80</v>
      </c>
      <c r="N30" s="842">
        <v>7</v>
      </c>
      <c r="O30" s="842">
        <v>7</v>
      </c>
      <c r="P30" s="842">
        <v>7</v>
      </c>
      <c r="Q30" s="842">
        <v>7</v>
      </c>
      <c r="R30" s="638">
        <v>2.6</v>
      </c>
      <c r="S30" s="839">
        <v>0.6</v>
      </c>
      <c r="T30" s="923">
        <f t="shared" si="1"/>
        <v>94523.960712898144</v>
      </c>
    </row>
    <row r="31" spans="2:20" ht="14.5" customHeight="1" thickBot="1">
      <c r="B31" s="2601" t="s">
        <v>30</v>
      </c>
      <c r="C31" s="2602"/>
      <c r="D31" s="819">
        <f>'3A1 Fermentación E.'!D31</f>
        <v>1682662.0402921853</v>
      </c>
      <c r="E31" s="828">
        <v>8.3000000000000007</v>
      </c>
      <c r="F31" s="831">
        <v>59</v>
      </c>
      <c r="G31" s="831">
        <f t="shared" si="0"/>
        <v>178.7405</v>
      </c>
      <c r="H31" s="842">
        <v>15</v>
      </c>
      <c r="I31" s="638">
        <v>5</v>
      </c>
      <c r="J31" s="638">
        <v>5</v>
      </c>
      <c r="K31" s="638">
        <v>30</v>
      </c>
      <c r="L31" s="638">
        <v>40</v>
      </c>
      <c r="M31" s="831">
        <v>5</v>
      </c>
      <c r="N31" s="842">
        <v>7.8</v>
      </c>
      <c r="O31" s="638">
        <v>7.8</v>
      </c>
      <c r="P31" s="638">
        <v>1</v>
      </c>
      <c r="Q31" s="638">
        <v>71.900000000000006</v>
      </c>
      <c r="R31" s="638">
        <v>1</v>
      </c>
      <c r="S31" s="839">
        <v>0.6</v>
      </c>
      <c r="T31" s="923">
        <f t="shared" si="1"/>
        <v>7100940.1626872784</v>
      </c>
    </row>
    <row r="32" spans="2:20" ht="14.5" thickBot="1">
      <c r="B32" s="2601" t="s">
        <v>31</v>
      </c>
      <c r="C32" s="2602"/>
      <c r="D32" s="819">
        <f>'3A1 Fermentación E.'!D32</f>
        <v>30205479.452054795</v>
      </c>
      <c r="E32" s="828">
        <v>15.6</v>
      </c>
      <c r="F32" s="831">
        <v>0.9</v>
      </c>
      <c r="G32" s="831">
        <f t="shared" si="0"/>
        <v>5.1245999999999992</v>
      </c>
      <c r="H32" s="842">
        <v>0</v>
      </c>
      <c r="I32" s="638">
        <v>0</v>
      </c>
      <c r="J32" s="638">
        <v>0</v>
      </c>
      <c r="K32" s="638">
        <v>0</v>
      </c>
      <c r="L32" s="638">
        <v>100</v>
      </c>
      <c r="M32" s="831">
        <v>0</v>
      </c>
      <c r="N32" s="842">
        <v>2.4</v>
      </c>
      <c r="O32" s="842">
        <v>2.4</v>
      </c>
      <c r="P32" s="842">
        <v>2.4</v>
      </c>
      <c r="Q32" s="842">
        <v>2.4</v>
      </c>
      <c r="R32" s="842">
        <v>2.4</v>
      </c>
      <c r="S32" s="839">
        <v>0.6</v>
      </c>
      <c r="T32" s="923">
        <f t="shared" si="1"/>
        <v>371498.39999999997</v>
      </c>
    </row>
    <row r="33" spans="2:27" ht="14.5" customHeight="1" thickBot="1">
      <c r="B33" s="2601" t="s">
        <v>34</v>
      </c>
      <c r="C33" s="2602"/>
      <c r="D33" s="819">
        <f>'3A1 Fermentación E.'!D33</f>
        <v>13510000</v>
      </c>
      <c r="E33" s="828">
        <v>10.1</v>
      </c>
      <c r="F33" s="831">
        <v>1.4</v>
      </c>
      <c r="G33" s="831">
        <f t="shared" si="0"/>
        <v>5.1611000000000002</v>
      </c>
      <c r="H33" s="842">
        <v>42</v>
      </c>
      <c r="I33" s="638">
        <v>0</v>
      </c>
      <c r="J33" s="638">
        <v>0</v>
      </c>
      <c r="K33" s="638">
        <v>58</v>
      </c>
      <c r="L33" s="638">
        <v>0</v>
      </c>
      <c r="M33" s="831">
        <v>0</v>
      </c>
      <c r="N33" s="842">
        <v>2.4</v>
      </c>
      <c r="O33" s="842">
        <v>2.4</v>
      </c>
      <c r="P33" s="842">
        <v>2.4</v>
      </c>
      <c r="Q33" s="842">
        <v>2.4</v>
      </c>
      <c r="R33" s="842">
        <v>2.4</v>
      </c>
      <c r="S33" s="839">
        <v>0.6</v>
      </c>
      <c r="T33" s="923">
        <f t="shared" si="1"/>
        <v>167343.50639999998</v>
      </c>
    </row>
    <row r="34" spans="2:27" ht="14.5" customHeight="1" thickBot="1">
      <c r="B34" s="2601" t="s">
        <v>32</v>
      </c>
      <c r="C34" s="2602"/>
      <c r="D34" s="819">
        <f>'3A1 Fermentación E.'!D34</f>
        <v>70291.655854557073</v>
      </c>
      <c r="E34" s="828">
        <v>7.4</v>
      </c>
      <c r="F34" s="831">
        <v>2.7</v>
      </c>
      <c r="G34" s="831">
        <f t="shared" si="0"/>
        <v>7.2927000000000008</v>
      </c>
      <c r="H34" s="842">
        <v>0</v>
      </c>
      <c r="I34" s="638">
        <v>0</v>
      </c>
      <c r="J34" s="638">
        <v>0</v>
      </c>
      <c r="K34" s="638">
        <v>0</v>
      </c>
      <c r="L34" s="638">
        <v>100</v>
      </c>
      <c r="M34" s="831">
        <v>0</v>
      </c>
      <c r="N34" s="842">
        <v>2.4</v>
      </c>
      <c r="O34" s="842">
        <v>2.4</v>
      </c>
      <c r="P34" s="842">
        <v>2.4</v>
      </c>
      <c r="Q34" s="842">
        <v>2.4</v>
      </c>
      <c r="R34" s="842">
        <v>2.4</v>
      </c>
      <c r="S34" s="839">
        <v>0.6</v>
      </c>
      <c r="T34" s="923">
        <f t="shared" si="1"/>
        <v>1230.2783007612682</v>
      </c>
    </row>
    <row r="35" spans="2:27" ht="14.5" customHeight="1" thickBot="1">
      <c r="B35" s="2601" t="s">
        <v>33</v>
      </c>
      <c r="C35" s="2602"/>
      <c r="D35" s="819">
        <f>'3A1 Fermentación E.'!D35</f>
        <v>198716.80964562827</v>
      </c>
      <c r="E35" s="828">
        <v>10.3</v>
      </c>
      <c r="F35" s="831">
        <v>6.8</v>
      </c>
      <c r="G35" s="831">
        <f t="shared" si="0"/>
        <v>25.564600000000002</v>
      </c>
      <c r="H35" s="842">
        <v>0</v>
      </c>
      <c r="I35" s="638">
        <v>0</v>
      </c>
      <c r="J35" s="638">
        <v>0</v>
      </c>
      <c r="K35" s="638">
        <v>0</v>
      </c>
      <c r="L35" s="638">
        <v>100</v>
      </c>
      <c r="M35" s="831">
        <v>0</v>
      </c>
      <c r="N35" s="842">
        <v>2.4</v>
      </c>
      <c r="O35" s="842">
        <v>2.4</v>
      </c>
      <c r="P35" s="842">
        <v>2.4</v>
      </c>
      <c r="Q35" s="842">
        <v>2.4</v>
      </c>
      <c r="R35" s="842">
        <v>2.4</v>
      </c>
      <c r="S35" s="839">
        <v>0.6</v>
      </c>
      <c r="T35" s="923">
        <f t="shared" si="1"/>
        <v>12192.277804479909</v>
      </c>
    </row>
    <row r="36" spans="2:27" ht="14.5" customHeight="1" thickBot="1">
      <c r="B36" s="2603" t="s">
        <v>46</v>
      </c>
      <c r="C36" s="2604"/>
      <c r="D36" s="68"/>
      <c r="E36" s="829"/>
      <c r="F36" s="829"/>
      <c r="G36" s="829"/>
      <c r="H36" s="843"/>
      <c r="I36" s="829"/>
      <c r="J36" s="829"/>
      <c r="K36" s="829"/>
      <c r="L36" s="829"/>
      <c r="M36" s="829"/>
      <c r="N36" s="843"/>
      <c r="O36" s="829"/>
      <c r="P36" s="829"/>
      <c r="Q36" s="829"/>
      <c r="R36" s="829"/>
      <c r="S36" s="829"/>
      <c r="T36" s="924">
        <f>SUM(T13:T35)</f>
        <v>15824680.030861441</v>
      </c>
    </row>
    <row r="37" spans="2:27" ht="16" customHeight="1" thickBot="1">
      <c r="B37" s="821"/>
      <c r="C37" s="822"/>
      <c r="D37" s="822"/>
      <c r="E37" s="822"/>
      <c r="F37" s="822"/>
      <c r="G37" s="822"/>
      <c r="H37" s="822"/>
      <c r="I37" s="822"/>
      <c r="J37" s="822"/>
      <c r="K37" s="822"/>
      <c r="L37" s="822"/>
      <c r="M37" s="822"/>
      <c r="N37" s="822"/>
      <c r="O37" s="822"/>
      <c r="P37" s="822"/>
      <c r="Q37" s="822"/>
      <c r="R37" s="822"/>
      <c r="S37" s="822"/>
      <c r="T37" s="823"/>
    </row>
    <row r="39" spans="2:27">
      <c r="B39" s="2632" t="s">
        <v>1305</v>
      </c>
      <c r="C39" s="2632"/>
      <c r="D39" s="2632"/>
      <c r="E39" s="2632"/>
      <c r="F39" s="2632"/>
      <c r="G39" s="2632"/>
      <c r="H39" s="2632"/>
    </row>
    <row r="40" spans="2:27" s="296" customFormat="1" ht="44.5" customHeight="1">
      <c r="B40" s="2631" t="s">
        <v>1300</v>
      </c>
      <c r="C40" s="2631"/>
      <c r="D40" s="847" t="s">
        <v>1284</v>
      </c>
      <c r="E40" s="847" t="s">
        <v>306</v>
      </c>
      <c r="F40" s="847" t="s">
        <v>1270</v>
      </c>
      <c r="G40" s="847" t="s">
        <v>124</v>
      </c>
      <c r="H40" s="848" t="s">
        <v>1298</v>
      </c>
      <c r="I40" s="847" t="s">
        <v>1302</v>
      </c>
      <c r="M40"/>
      <c r="O40" s="368"/>
      <c r="P40" s="368"/>
      <c r="Q40" s="368"/>
      <c r="R40" s="849"/>
      <c r="S40" s="368"/>
      <c r="T40" s="368"/>
      <c r="U40" s="368"/>
      <c r="V40" s="368"/>
      <c r="W40" s="368"/>
      <c r="X40" s="368"/>
      <c r="Y40" s="368"/>
      <c r="Z40" s="368"/>
      <c r="AA40" s="845"/>
    </row>
    <row r="41" spans="2:27" s="296" customFormat="1" ht="15" customHeight="1">
      <c r="B41" s="2630" t="s">
        <v>21</v>
      </c>
      <c r="C41" s="2630"/>
      <c r="D41" s="846" t="s">
        <v>2392</v>
      </c>
      <c r="E41" s="846" t="s">
        <v>2234</v>
      </c>
      <c r="F41" s="846" t="s">
        <v>1304</v>
      </c>
      <c r="G41" s="846" t="s">
        <v>1285</v>
      </c>
      <c r="H41" s="846" t="s">
        <v>1299</v>
      </c>
      <c r="I41" s="846" t="s">
        <v>1303</v>
      </c>
      <c r="J41" s="296" t="s">
        <v>43</v>
      </c>
      <c r="M41"/>
      <c r="O41" s="369"/>
      <c r="P41" s="369"/>
      <c r="Q41" s="369"/>
      <c r="R41" s="369"/>
      <c r="S41" s="369"/>
      <c r="T41" s="369"/>
      <c r="U41" s="369"/>
      <c r="V41" s="369"/>
      <c r="W41" s="369"/>
      <c r="X41" s="369"/>
      <c r="Y41" s="369"/>
      <c r="Z41" s="369"/>
      <c r="AA41" s="369"/>
    </row>
    <row r="42" spans="2:27" s="296" customFormat="1" ht="15" customHeight="1">
      <c r="B42" s="2630" t="s">
        <v>37</v>
      </c>
      <c r="C42" s="2630"/>
      <c r="D42" s="846" t="s">
        <v>1225</v>
      </c>
      <c r="E42" s="846" t="s">
        <v>2222</v>
      </c>
      <c r="F42" s="846" t="s">
        <v>1304</v>
      </c>
      <c r="G42" s="846" t="s">
        <v>1285</v>
      </c>
      <c r="H42" s="846" t="s">
        <v>1299</v>
      </c>
      <c r="I42" s="846" t="s">
        <v>1303</v>
      </c>
      <c r="J42" s="296" t="s">
        <v>43</v>
      </c>
      <c r="M42"/>
      <c r="O42" s="776"/>
      <c r="P42" s="776"/>
      <c r="Q42" s="776"/>
      <c r="R42" s="776"/>
      <c r="S42" s="776"/>
      <c r="T42" s="776"/>
      <c r="U42" s="776"/>
      <c r="V42" s="776"/>
      <c r="W42" s="776"/>
      <c r="X42" s="776"/>
      <c r="Y42" s="776"/>
      <c r="Z42" s="776"/>
      <c r="AA42" s="776"/>
    </row>
    <row r="43" spans="2:27" s="296" customFormat="1" ht="15" customHeight="1">
      <c r="B43" s="2630" t="s">
        <v>38</v>
      </c>
      <c r="C43" s="2630"/>
      <c r="D43" s="846" t="s">
        <v>1225</v>
      </c>
      <c r="E43" s="846" t="s">
        <v>2223</v>
      </c>
      <c r="F43" s="846" t="s">
        <v>1304</v>
      </c>
      <c r="G43" s="846" t="s">
        <v>1285</v>
      </c>
      <c r="H43" s="846" t="s">
        <v>1299</v>
      </c>
      <c r="I43" s="846" t="s">
        <v>1303</v>
      </c>
      <c r="J43" s="296" t="s">
        <v>43</v>
      </c>
      <c r="M43"/>
      <c r="O43" s="297"/>
      <c r="P43" s="297"/>
      <c r="Q43" s="297"/>
      <c r="R43" s="297"/>
      <c r="S43" s="297"/>
      <c r="T43" s="297"/>
      <c r="U43" s="297"/>
      <c r="V43" s="297"/>
      <c r="W43" s="297"/>
      <c r="X43" s="297"/>
      <c r="Y43" s="297"/>
      <c r="Z43" s="297"/>
      <c r="AA43" s="298"/>
    </row>
    <row r="44" spans="2:27" s="296" customFormat="1" ht="15" customHeight="1">
      <c r="B44" s="2630" t="s">
        <v>39</v>
      </c>
      <c r="C44" s="2630"/>
      <c r="D44" s="846" t="s">
        <v>1225</v>
      </c>
      <c r="E44" s="846" t="s">
        <v>2231</v>
      </c>
      <c r="F44" s="846" t="s">
        <v>1304</v>
      </c>
      <c r="G44" s="846" t="s">
        <v>1286</v>
      </c>
      <c r="H44" s="846" t="s">
        <v>1299</v>
      </c>
      <c r="I44" s="846" t="s">
        <v>1303</v>
      </c>
      <c r="J44" s="296" t="s">
        <v>43</v>
      </c>
      <c r="M44"/>
      <c r="O44" s="297"/>
      <c r="P44" s="297"/>
      <c r="Q44" s="297"/>
      <c r="R44" s="297"/>
      <c r="S44" s="297"/>
      <c r="T44" s="297"/>
      <c r="U44" s="297"/>
      <c r="V44" s="297"/>
      <c r="W44" s="297"/>
      <c r="X44" s="297"/>
      <c r="Y44" s="297"/>
      <c r="Z44" s="297"/>
      <c r="AA44" s="298"/>
    </row>
    <row r="45" spans="2:27" s="296" customFormat="1" ht="15" customHeight="1">
      <c r="B45" s="2629" t="s">
        <v>40</v>
      </c>
      <c r="C45" s="2629"/>
      <c r="D45" s="846" t="s">
        <v>2235</v>
      </c>
      <c r="E45" s="846"/>
      <c r="F45" s="846" t="s">
        <v>1306</v>
      </c>
      <c r="G45" s="846" t="s">
        <v>1287</v>
      </c>
      <c r="H45" s="846" t="s">
        <v>1301</v>
      </c>
      <c r="I45" s="846" t="s">
        <v>1303</v>
      </c>
      <c r="J45" s="296" t="s">
        <v>43</v>
      </c>
      <c r="M45"/>
      <c r="O45" s="297"/>
      <c r="P45" s="297"/>
      <c r="Q45" s="297"/>
      <c r="R45" s="297"/>
      <c r="S45" s="297"/>
      <c r="T45" s="297"/>
      <c r="U45" s="297"/>
      <c r="V45" s="297"/>
      <c r="W45" s="297"/>
      <c r="X45" s="297"/>
      <c r="Y45" s="297"/>
      <c r="Z45" s="297"/>
      <c r="AA45" s="298"/>
    </row>
    <row r="46" spans="2:27" s="296" customFormat="1" ht="15" customHeight="1">
      <c r="B46" s="2629" t="s">
        <v>26</v>
      </c>
      <c r="C46" s="2629"/>
      <c r="D46" s="846" t="s">
        <v>1231</v>
      </c>
      <c r="E46" s="846" t="s">
        <v>2232</v>
      </c>
      <c r="F46" s="846" t="s">
        <v>1306</v>
      </c>
      <c r="G46" s="846" t="s">
        <v>1288</v>
      </c>
      <c r="H46" s="846" t="s">
        <v>1301</v>
      </c>
      <c r="I46" s="846" t="s">
        <v>1303</v>
      </c>
      <c r="J46" s="296" t="s">
        <v>43</v>
      </c>
      <c r="M46"/>
      <c r="O46" s="297"/>
      <c r="P46" s="297"/>
      <c r="Q46" s="297"/>
      <c r="R46" s="297"/>
      <c r="S46" s="297"/>
      <c r="T46" s="297"/>
      <c r="U46" s="297"/>
      <c r="V46" s="297"/>
      <c r="W46" s="297"/>
      <c r="X46" s="297"/>
      <c r="Y46" s="297"/>
      <c r="Z46" s="297"/>
      <c r="AA46" s="298"/>
    </row>
    <row r="47" spans="2:27" s="296" customFormat="1" ht="15" customHeight="1">
      <c r="B47" s="2629" t="s">
        <v>27</v>
      </c>
      <c r="C47" s="2629"/>
      <c r="D47" s="846" t="s">
        <v>2393</v>
      </c>
      <c r="E47" s="846" t="s">
        <v>2232</v>
      </c>
      <c r="F47" s="846" t="s">
        <v>1306</v>
      </c>
      <c r="G47" s="846" t="s">
        <v>1289</v>
      </c>
      <c r="H47" s="846" t="s">
        <v>1301</v>
      </c>
      <c r="I47" s="846" t="s">
        <v>1303</v>
      </c>
      <c r="J47" s="296" t="s">
        <v>43</v>
      </c>
      <c r="M47"/>
      <c r="O47" s="297"/>
      <c r="P47" s="297"/>
      <c r="Q47" s="297"/>
      <c r="R47" s="297"/>
      <c r="S47" s="297"/>
      <c r="T47" s="297"/>
      <c r="U47" s="297"/>
      <c r="V47" s="297"/>
      <c r="W47" s="297"/>
      <c r="X47" s="297"/>
      <c r="Y47" s="297"/>
      <c r="Z47" s="297"/>
      <c r="AA47" s="298"/>
    </row>
    <row r="48" spans="2:27" s="296" customFormat="1" ht="15" customHeight="1">
      <c r="B48" s="2629" t="s">
        <v>752</v>
      </c>
      <c r="C48" s="2629"/>
      <c r="D48" s="846" t="s">
        <v>966</v>
      </c>
      <c r="E48" s="846" t="s">
        <v>2225</v>
      </c>
      <c r="F48" s="846" t="s">
        <v>1306</v>
      </c>
      <c r="G48" s="846" t="s">
        <v>1290</v>
      </c>
      <c r="H48" s="846" t="s">
        <v>1301</v>
      </c>
      <c r="I48" s="846" t="s">
        <v>1303</v>
      </c>
      <c r="J48" s="296" t="s">
        <v>43</v>
      </c>
      <c r="M48"/>
      <c r="O48" s="298"/>
      <c r="P48" s="298"/>
      <c r="Q48" s="297"/>
      <c r="R48" s="297"/>
      <c r="S48" s="297"/>
      <c r="T48" s="298"/>
      <c r="U48" s="298"/>
      <c r="V48" s="298"/>
      <c r="W48" s="298"/>
      <c r="X48" s="298"/>
      <c r="Y48" s="298"/>
      <c r="Z48" s="297"/>
      <c r="AA48" s="298"/>
    </row>
    <row r="49" spans="2:27" s="296" customFormat="1" ht="15" customHeight="1">
      <c r="B49" s="2629" t="s">
        <v>28</v>
      </c>
      <c r="C49" s="2629"/>
      <c r="D49" s="846" t="s">
        <v>2393</v>
      </c>
      <c r="E49" s="846" t="s">
        <v>2232</v>
      </c>
      <c r="F49" s="846" t="s">
        <v>1306</v>
      </c>
      <c r="G49" s="846" t="s">
        <v>1291</v>
      </c>
      <c r="H49" s="846" t="s">
        <v>1301</v>
      </c>
      <c r="I49" s="846" t="s">
        <v>1303</v>
      </c>
      <c r="J49" s="296" t="s">
        <v>43</v>
      </c>
      <c r="M49"/>
      <c r="O49" s="297"/>
      <c r="P49" s="297"/>
      <c r="Q49" s="297"/>
      <c r="R49" s="297"/>
      <c r="S49" s="297"/>
      <c r="T49" s="297"/>
      <c r="U49" s="297"/>
      <c r="V49" s="297"/>
      <c r="W49" s="297"/>
      <c r="X49" s="297"/>
      <c r="Y49" s="297"/>
      <c r="Z49" s="297"/>
      <c r="AA49" s="298"/>
    </row>
    <row r="50" spans="2:27" s="296" customFormat="1" ht="15" customHeight="1">
      <c r="B50" s="2629" t="s">
        <v>42</v>
      </c>
      <c r="C50" s="2629"/>
      <c r="D50" s="846" t="s">
        <v>2393</v>
      </c>
      <c r="E50" s="846" t="s">
        <v>2232</v>
      </c>
      <c r="F50" s="846" t="s">
        <v>1306</v>
      </c>
      <c r="G50" s="846" t="s">
        <v>1292</v>
      </c>
      <c r="H50" s="846" t="s">
        <v>1301</v>
      </c>
      <c r="I50" s="846" t="s">
        <v>1303</v>
      </c>
      <c r="J50" s="296" t="s">
        <v>43</v>
      </c>
      <c r="M50"/>
      <c r="O50" s="297"/>
      <c r="P50" s="297"/>
      <c r="Q50" s="297"/>
      <c r="R50" s="297"/>
      <c r="S50" s="297"/>
      <c r="T50" s="297"/>
      <c r="U50" s="297"/>
      <c r="V50" s="297"/>
      <c r="W50" s="297"/>
      <c r="X50" s="297"/>
      <c r="Y50" s="297"/>
      <c r="Z50" s="297"/>
      <c r="AA50" s="298"/>
    </row>
    <row r="51" spans="2:27" s="296" customFormat="1" ht="15" customHeight="1">
      <c r="B51" s="2629" t="s">
        <v>30</v>
      </c>
      <c r="C51" s="2629"/>
      <c r="D51" s="846" t="s">
        <v>1236</v>
      </c>
      <c r="E51" s="846" t="s">
        <v>2233</v>
      </c>
      <c r="F51" s="846" t="s">
        <v>1306</v>
      </c>
      <c r="G51" s="846" t="s">
        <v>1293</v>
      </c>
      <c r="H51" s="846" t="s">
        <v>1301</v>
      </c>
      <c r="I51" s="846" t="s">
        <v>1303</v>
      </c>
      <c r="J51" s="296" t="s">
        <v>43</v>
      </c>
      <c r="M51"/>
      <c r="O51" s="298"/>
      <c r="P51" s="298"/>
      <c r="Q51" s="297"/>
      <c r="R51" s="297"/>
      <c r="S51" s="297"/>
      <c r="T51" s="298"/>
      <c r="U51" s="298"/>
      <c r="V51" s="298"/>
      <c r="W51" s="298"/>
      <c r="X51" s="298"/>
      <c r="Y51" s="298"/>
      <c r="Z51" s="297"/>
      <c r="AA51" s="298"/>
    </row>
    <row r="52" spans="2:27" s="296" customFormat="1" ht="15" customHeight="1">
      <c r="B52" s="2629" t="s">
        <v>31</v>
      </c>
      <c r="C52" s="2629"/>
      <c r="D52" s="846" t="s">
        <v>2228</v>
      </c>
      <c r="E52" s="846" t="s">
        <v>2227</v>
      </c>
      <c r="F52" s="846" t="s">
        <v>1308</v>
      </c>
      <c r="G52" s="846" t="s">
        <v>1294</v>
      </c>
      <c r="H52" s="846" t="s">
        <v>1301</v>
      </c>
      <c r="I52" s="846" t="s">
        <v>1303</v>
      </c>
      <c r="J52" s="296" t="s">
        <v>43</v>
      </c>
      <c r="M52"/>
      <c r="O52" s="297"/>
      <c r="P52" s="297"/>
      <c r="Q52" s="297"/>
      <c r="R52" s="297"/>
      <c r="S52" s="297"/>
      <c r="T52" s="297"/>
      <c r="U52" s="297"/>
      <c r="V52" s="297"/>
      <c r="W52" s="297"/>
      <c r="X52" s="297"/>
      <c r="Y52" s="297"/>
      <c r="Z52" s="297"/>
      <c r="AA52" s="298"/>
    </row>
    <row r="53" spans="2:27" s="296" customFormat="1" ht="15" customHeight="1">
      <c r="B53" s="2629" t="s">
        <v>34</v>
      </c>
      <c r="C53" s="2629"/>
      <c r="D53" s="846" t="s">
        <v>2228</v>
      </c>
      <c r="E53" s="846" t="s">
        <v>437</v>
      </c>
      <c r="F53" s="846" t="s">
        <v>1308</v>
      </c>
      <c r="G53" s="846" t="s">
        <v>1295</v>
      </c>
      <c r="H53" s="846" t="s">
        <v>1301</v>
      </c>
      <c r="I53" s="846" t="s">
        <v>1303</v>
      </c>
      <c r="J53" s="296" t="s">
        <v>43</v>
      </c>
      <c r="M53"/>
      <c r="O53" s="297"/>
      <c r="P53" s="297"/>
      <c r="Q53" s="297"/>
      <c r="R53" s="297"/>
      <c r="S53" s="297"/>
      <c r="T53" s="297"/>
      <c r="U53" s="297"/>
      <c r="V53" s="297"/>
      <c r="W53" s="297"/>
      <c r="X53" s="297"/>
      <c r="Y53" s="297"/>
      <c r="Z53" s="297"/>
      <c r="AA53" s="298"/>
    </row>
    <row r="54" spans="2:27" s="296" customFormat="1" ht="15" customHeight="1">
      <c r="B54" s="2629" t="s">
        <v>32</v>
      </c>
      <c r="C54" s="2629"/>
      <c r="D54" s="846" t="s">
        <v>2394</v>
      </c>
      <c r="E54" s="846" t="s">
        <v>439</v>
      </c>
      <c r="F54" s="846" t="s">
        <v>1307</v>
      </c>
      <c r="G54" s="846" t="s">
        <v>1296</v>
      </c>
      <c r="H54" s="846" t="s">
        <v>1301</v>
      </c>
      <c r="I54" s="846" t="s">
        <v>1303</v>
      </c>
      <c r="J54" s="296" t="s">
        <v>43</v>
      </c>
      <c r="M54"/>
      <c r="O54" s="298"/>
      <c r="P54" s="298"/>
      <c r="Q54" s="297"/>
      <c r="R54" s="297"/>
      <c r="S54" s="297"/>
      <c r="T54" s="298"/>
      <c r="U54" s="298"/>
      <c r="V54" s="298"/>
      <c r="W54" s="298"/>
      <c r="X54" s="298"/>
      <c r="Y54" s="298"/>
      <c r="Z54" s="297"/>
      <c r="AA54" s="298"/>
    </row>
    <row r="55" spans="2:27" s="296" customFormat="1" ht="15" customHeight="1">
      <c r="B55" s="2629" t="s">
        <v>33</v>
      </c>
      <c r="C55" s="2629"/>
      <c r="D55" s="846" t="s">
        <v>2394</v>
      </c>
      <c r="E55" s="846" t="s">
        <v>440</v>
      </c>
      <c r="F55" s="846" t="s">
        <v>1307</v>
      </c>
      <c r="G55" s="846" t="s">
        <v>1297</v>
      </c>
      <c r="H55" s="846" t="s">
        <v>1301</v>
      </c>
      <c r="I55" s="846" t="s">
        <v>1303</v>
      </c>
      <c r="J55" s="296" t="s">
        <v>43</v>
      </c>
      <c r="M55"/>
      <c r="O55" s="298"/>
      <c r="P55" s="298"/>
      <c r="Q55" s="297"/>
      <c r="R55" s="297"/>
      <c r="S55" s="297"/>
      <c r="T55" s="298"/>
      <c r="U55" s="298"/>
      <c r="V55" s="298"/>
      <c r="W55" s="298"/>
      <c r="X55" s="298"/>
      <c r="Y55" s="298"/>
      <c r="Z55" s="297"/>
      <c r="AA55" s="298"/>
    </row>
    <row r="56" spans="2:27" s="296" customFormat="1" ht="15" customHeight="1">
      <c r="L56"/>
      <c r="N56" s="298"/>
      <c r="O56" s="298"/>
      <c r="P56" s="297"/>
      <c r="Q56" s="297"/>
      <c r="R56" s="297"/>
      <c r="S56" s="298"/>
      <c r="T56" s="298"/>
      <c r="U56" s="298"/>
      <c r="V56" s="298"/>
      <c r="W56" s="298"/>
      <c r="X56" s="298"/>
      <c r="Y56" s="297"/>
      <c r="Z56" s="298"/>
    </row>
    <row r="57" spans="2:27" s="296" customFormat="1" ht="15" customHeight="1">
      <c r="L57"/>
      <c r="N57" s="298"/>
      <c r="O57" s="298"/>
      <c r="P57" s="297"/>
      <c r="Q57" s="297"/>
      <c r="R57" s="297"/>
      <c r="S57" s="298"/>
      <c r="T57" s="298"/>
      <c r="U57" s="298"/>
      <c r="V57" s="298"/>
      <c r="W57" s="298"/>
      <c r="X57" s="298"/>
      <c r="Y57" s="297"/>
      <c r="Z57" s="298"/>
    </row>
    <row r="58" spans="2:27" s="296" customFormat="1" ht="15" customHeight="1">
      <c r="L58"/>
      <c r="N58" s="297"/>
      <c r="O58" s="297"/>
      <c r="P58" s="297"/>
      <c r="Q58" s="297"/>
      <c r="R58" s="297"/>
      <c r="S58" s="297"/>
      <c r="T58" s="297"/>
      <c r="U58" s="297"/>
      <c r="V58" s="297"/>
      <c r="W58" s="297"/>
      <c r="X58" s="297"/>
      <c r="Y58" s="297"/>
      <c r="Z58" s="298"/>
    </row>
    <row r="59" spans="2:27" s="296" customFormat="1" ht="15" customHeight="1">
      <c r="L59"/>
      <c r="N59" s="297"/>
      <c r="O59" s="297"/>
      <c r="P59" s="297"/>
      <c r="Q59" s="297"/>
      <c r="R59" s="297"/>
      <c r="S59" s="297"/>
      <c r="T59" s="297"/>
      <c r="U59" s="297"/>
      <c r="V59" s="297"/>
      <c r="W59" s="297"/>
      <c r="X59" s="297"/>
      <c r="Y59" s="297"/>
      <c r="Z59" s="298"/>
    </row>
    <row r="60" spans="2:27" s="296" customFormat="1" ht="15" customHeight="1">
      <c r="L60"/>
      <c r="N60" s="298"/>
      <c r="O60" s="298"/>
      <c r="P60" s="297"/>
      <c r="Q60" s="297"/>
      <c r="R60" s="297"/>
      <c r="S60" s="298"/>
      <c r="T60" s="298"/>
      <c r="U60" s="298"/>
      <c r="V60" s="298"/>
      <c r="W60" s="298"/>
      <c r="X60" s="298"/>
      <c r="Y60" s="297"/>
      <c r="Z60" s="298"/>
    </row>
    <row r="61" spans="2:27" s="296" customFormat="1" ht="15" customHeight="1">
      <c r="L61"/>
      <c r="N61" s="297"/>
      <c r="O61" s="297"/>
      <c r="P61" s="298"/>
      <c r="Q61" s="298"/>
      <c r="R61" s="297"/>
      <c r="S61" s="297"/>
      <c r="T61" s="297"/>
      <c r="U61" s="297"/>
      <c r="V61" s="297"/>
      <c r="W61" s="297"/>
      <c r="X61" s="297"/>
      <c r="Y61" s="298"/>
      <c r="Z61" s="298"/>
    </row>
    <row r="62" spans="2:27" s="296" customFormat="1" ht="15" customHeight="1">
      <c r="L62"/>
      <c r="N62" s="297"/>
      <c r="O62" s="297"/>
      <c r="P62" s="298"/>
      <c r="Q62" s="298"/>
      <c r="R62" s="297"/>
      <c r="S62" s="297"/>
      <c r="T62" s="297"/>
      <c r="U62" s="297"/>
      <c r="V62" s="297"/>
      <c r="W62" s="297"/>
      <c r="X62" s="297"/>
      <c r="Y62" s="298"/>
      <c r="Z62" s="298"/>
    </row>
    <row r="63" spans="2:27" s="296" customFormat="1" ht="15" customHeight="1">
      <c r="L63"/>
      <c r="N63" s="298"/>
      <c r="O63" s="298"/>
      <c r="P63" s="298"/>
      <c r="Q63" s="298"/>
      <c r="R63" s="297"/>
      <c r="S63" s="298"/>
      <c r="T63" s="298"/>
      <c r="U63" s="298"/>
      <c r="V63" s="298"/>
      <c r="W63" s="298"/>
      <c r="X63" s="298"/>
      <c r="Y63" s="298"/>
      <c r="Z63" s="298"/>
    </row>
    <row r="64" spans="2:27" s="296" customFormat="1" ht="15" customHeight="1">
      <c r="L64"/>
      <c r="N64" s="298"/>
      <c r="O64" s="298"/>
      <c r="P64" s="298"/>
      <c r="Q64" s="298"/>
      <c r="R64" s="297"/>
      <c r="S64" s="298"/>
      <c r="T64" s="298"/>
      <c r="U64" s="298"/>
      <c r="V64" s="298"/>
      <c r="W64" s="298"/>
      <c r="X64" s="298"/>
      <c r="Y64" s="298"/>
      <c r="Z64" s="298"/>
    </row>
    <row r="65" spans="4:26" s="296" customFormat="1" ht="15" customHeight="1">
      <c r="L65"/>
      <c r="N65" s="297"/>
      <c r="O65" s="297"/>
      <c r="P65" s="298"/>
      <c r="Q65" s="298"/>
      <c r="R65" s="297"/>
      <c r="S65" s="297"/>
      <c r="T65" s="297"/>
      <c r="U65" s="297"/>
      <c r="V65" s="297"/>
      <c r="W65" s="297"/>
      <c r="X65" s="297"/>
      <c r="Y65" s="298"/>
      <c r="Z65" s="298"/>
    </row>
    <row r="66" spans="4:26" s="296" customFormat="1" ht="15" customHeight="1">
      <c r="L66"/>
      <c r="N66" s="298"/>
      <c r="O66" s="298"/>
      <c r="P66" s="298"/>
      <c r="Q66" s="298"/>
      <c r="R66" s="297"/>
      <c r="S66" s="298"/>
      <c r="T66" s="298"/>
      <c r="U66" s="298"/>
      <c r="V66" s="298"/>
      <c r="W66" s="298"/>
      <c r="X66" s="298"/>
      <c r="Y66" s="298"/>
      <c r="Z66" s="298"/>
    </row>
    <row r="67" spans="4:26" s="296" customFormat="1" ht="15" customHeight="1">
      <c r="L67"/>
      <c r="N67" s="297"/>
      <c r="O67" s="297"/>
      <c r="P67" s="298"/>
      <c r="Q67" s="298"/>
      <c r="R67" s="297"/>
      <c r="S67" s="297"/>
      <c r="T67" s="297"/>
      <c r="U67" s="297"/>
      <c r="V67" s="297"/>
      <c r="W67" s="297"/>
      <c r="X67" s="297"/>
      <c r="Y67" s="298"/>
      <c r="Z67" s="298"/>
    </row>
    <row r="68" spans="4:26" s="296" customFormat="1" ht="15" customHeight="1">
      <c r="L68"/>
      <c r="N68" s="297"/>
      <c r="O68" s="297"/>
      <c r="P68" s="298"/>
      <c r="Q68" s="298"/>
      <c r="R68" s="297"/>
      <c r="S68" s="297"/>
      <c r="T68" s="297"/>
      <c r="U68" s="297"/>
      <c r="V68" s="297"/>
      <c r="W68" s="297"/>
      <c r="X68" s="297"/>
      <c r="Y68" s="298"/>
      <c r="Z68" s="298"/>
    </row>
    <row r="69" spans="4:26" s="296" customFormat="1" ht="15" customHeight="1">
      <c r="L69"/>
      <c r="N69" s="298"/>
      <c r="O69" s="298"/>
      <c r="P69" s="298"/>
      <c r="Q69" s="298"/>
      <c r="R69" s="297"/>
      <c r="S69" s="298"/>
      <c r="T69" s="298"/>
      <c r="U69" s="298"/>
      <c r="V69" s="298"/>
      <c r="W69" s="298"/>
      <c r="X69" s="298"/>
      <c r="Y69" s="298"/>
      <c r="Z69" s="298"/>
    </row>
    <row r="70" spans="4:26" s="296" customFormat="1" ht="15" customHeight="1">
      <c r="L70"/>
      <c r="N70" s="298"/>
      <c r="O70" s="298"/>
      <c r="P70" s="298"/>
      <c r="Q70" s="298"/>
      <c r="R70" s="297"/>
      <c r="S70" s="298"/>
      <c r="T70" s="298"/>
      <c r="U70" s="298"/>
      <c r="V70" s="298"/>
      <c r="W70" s="298"/>
      <c r="X70" s="298"/>
      <c r="Y70" s="298"/>
      <c r="Z70" s="298"/>
    </row>
    <row r="71" spans="4:26" s="296" customFormat="1" ht="15" customHeight="1">
      <c r="L71"/>
      <c r="N71" s="297"/>
      <c r="O71" s="297"/>
      <c r="P71" s="298"/>
      <c r="Q71" s="298"/>
      <c r="R71" s="297"/>
      <c r="S71" s="297"/>
      <c r="T71" s="297"/>
      <c r="U71" s="297"/>
      <c r="V71" s="297"/>
      <c r="W71" s="297"/>
      <c r="X71" s="297"/>
      <c r="Y71" s="298"/>
      <c r="Z71" s="298"/>
    </row>
    <row r="72" spans="4:26" s="296" customFormat="1" ht="15" customHeight="1">
      <c r="L72"/>
      <c r="N72" s="298"/>
      <c r="O72" s="298"/>
      <c r="P72" s="298"/>
      <c r="Q72" s="298"/>
      <c r="R72" s="297"/>
      <c r="S72" s="298"/>
      <c r="T72" s="298"/>
      <c r="U72" s="298"/>
      <c r="V72" s="298"/>
      <c r="W72" s="298"/>
      <c r="X72" s="298"/>
      <c r="Y72" s="298"/>
      <c r="Z72" s="298"/>
    </row>
    <row r="73" spans="4:26" s="296" customFormat="1" ht="15" customHeight="1">
      <c r="L73"/>
      <c r="N73" s="298"/>
      <c r="O73" s="298"/>
      <c r="P73" s="298"/>
      <c r="Q73" s="298"/>
      <c r="R73" s="297"/>
      <c r="S73" s="298"/>
      <c r="T73" s="298"/>
      <c r="U73" s="298"/>
      <c r="V73" s="298"/>
      <c r="W73" s="298"/>
      <c r="X73" s="298"/>
      <c r="Y73" s="298"/>
      <c r="Z73" s="298"/>
    </row>
    <row r="74" spans="4:26" s="296" customFormat="1" ht="15" customHeight="1">
      <c r="L74"/>
      <c r="N74" s="297"/>
      <c r="O74" s="297"/>
      <c r="P74" s="298"/>
      <c r="Q74" s="298"/>
      <c r="R74" s="297"/>
      <c r="S74" s="297"/>
      <c r="T74" s="297"/>
      <c r="U74" s="297"/>
      <c r="V74" s="297"/>
      <c r="W74" s="297"/>
      <c r="X74" s="297"/>
      <c r="Y74" s="298"/>
      <c r="Z74" s="298"/>
    </row>
    <row r="75" spans="4:26" s="296" customFormat="1" ht="15" customHeight="1">
      <c r="L75"/>
      <c r="N75" s="298"/>
      <c r="O75" s="298"/>
      <c r="P75" s="298"/>
      <c r="Q75" s="298"/>
      <c r="R75" s="297"/>
      <c r="S75" s="298"/>
      <c r="T75" s="298"/>
      <c r="U75" s="298"/>
      <c r="V75" s="298"/>
      <c r="W75" s="298"/>
      <c r="X75" s="298"/>
      <c r="Y75" s="298"/>
      <c r="Z75" s="298"/>
    </row>
    <row r="76" spans="4:26" s="296" customFormat="1" ht="15" customHeight="1">
      <c r="L76"/>
      <c r="N76" s="298"/>
      <c r="O76" s="298"/>
      <c r="P76" s="298"/>
      <c r="Q76" s="298"/>
      <c r="R76" s="297"/>
      <c r="S76" s="298"/>
      <c r="T76" s="298"/>
      <c r="U76" s="298"/>
      <c r="V76" s="298"/>
      <c r="W76" s="298"/>
      <c r="X76" s="298"/>
      <c r="Y76" s="298"/>
      <c r="Z76" s="298"/>
    </row>
    <row r="77" spans="4:26" s="296" customFormat="1" ht="15" customHeight="1">
      <c r="L77"/>
      <c r="N77" s="298"/>
      <c r="O77" s="298"/>
      <c r="P77" s="298"/>
      <c r="Q77" s="298"/>
      <c r="R77" s="297"/>
      <c r="S77" s="298"/>
      <c r="T77" s="298"/>
      <c r="U77" s="298"/>
      <c r="V77" s="298"/>
      <c r="W77" s="298"/>
      <c r="X77" s="298"/>
      <c r="Y77" s="298"/>
      <c r="Z77" s="298"/>
    </row>
    <row r="78" spans="4:26" s="296" customFormat="1" ht="15" customHeight="1">
      <c r="L78"/>
      <c r="N78" s="298"/>
      <c r="O78" s="298"/>
      <c r="P78" s="298"/>
      <c r="Q78" s="298"/>
      <c r="R78" s="297"/>
      <c r="S78" s="298"/>
      <c r="T78" s="298"/>
      <c r="U78" s="298"/>
      <c r="V78" s="298"/>
      <c r="W78" s="298"/>
      <c r="X78" s="298"/>
      <c r="Y78" s="298"/>
      <c r="Z78" s="298"/>
    </row>
    <row r="79" spans="4:26" s="296" customFormat="1" ht="15" customHeight="1">
      <c r="D79"/>
      <c r="L79"/>
      <c r="N79" s="298"/>
      <c r="O79" s="298"/>
      <c r="P79" s="298"/>
      <c r="Q79" s="298"/>
      <c r="R79" s="297"/>
      <c r="S79" s="298"/>
      <c r="T79" s="298"/>
      <c r="U79" s="298"/>
      <c r="V79" s="298"/>
      <c r="W79" s="298"/>
      <c r="X79" s="298"/>
      <c r="Y79" s="298"/>
      <c r="Z79" s="298"/>
    </row>
    <row r="80" spans="4:26" s="296" customFormat="1" ht="15" customHeight="1">
      <c r="D80"/>
      <c r="L80"/>
      <c r="N80" s="298"/>
      <c r="O80" s="298"/>
      <c r="P80" s="298"/>
      <c r="Q80" s="298"/>
      <c r="R80" s="297"/>
      <c r="S80" s="298"/>
      <c r="T80" s="298"/>
      <c r="U80" s="298"/>
      <c r="V80" s="298"/>
      <c r="W80" s="298"/>
      <c r="X80" s="298"/>
      <c r="Y80" s="298"/>
      <c r="Z80" s="298"/>
    </row>
    <row r="81" spans="2:26" s="296" customFormat="1" ht="15" customHeight="1">
      <c r="D81"/>
      <c r="L81"/>
      <c r="N81" s="298"/>
      <c r="O81" s="298"/>
      <c r="P81" s="298"/>
      <c r="Q81" s="298"/>
      <c r="R81" s="297"/>
      <c r="S81" s="298"/>
      <c r="T81" s="298"/>
      <c r="U81" s="298"/>
      <c r="V81" s="298"/>
      <c r="W81" s="298"/>
      <c r="X81" s="298"/>
      <c r="Y81" s="298"/>
      <c r="Z81" s="298"/>
    </row>
    <row r="82" spans="2:26" s="296" customFormat="1" ht="15" customHeight="1">
      <c r="D82"/>
      <c r="L82"/>
      <c r="N82" s="298"/>
      <c r="O82" s="298"/>
      <c r="P82" s="298"/>
      <c r="Q82" s="298"/>
      <c r="R82" s="297"/>
      <c r="S82" s="298"/>
      <c r="T82" s="298"/>
      <c r="U82" s="298"/>
      <c r="V82" s="298"/>
      <c r="W82" s="298"/>
      <c r="X82" s="298"/>
      <c r="Y82" s="298"/>
      <c r="Z82" s="298"/>
    </row>
    <row r="83" spans="2:26" s="296" customFormat="1" ht="15" customHeight="1">
      <c r="B83"/>
      <c r="C83"/>
      <c r="D83"/>
      <c r="L83"/>
      <c r="N83" s="298"/>
      <c r="O83" s="298"/>
      <c r="P83" s="298"/>
      <c r="Q83" s="298"/>
      <c r="R83" s="297"/>
      <c r="S83" s="298"/>
      <c r="T83" s="298"/>
      <c r="U83" s="298"/>
      <c r="V83" s="298"/>
      <c r="W83" s="298"/>
      <c r="X83" s="298"/>
      <c r="Y83" s="298"/>
      <c r="Z83" s="298"/>
    </row>
    <row r="84" spans="2:26" s="296" customFormat="1" ht="15" customHeight="1">
      <c r="B84"/>
      <c r="C84"/>
      <c r="D84"/>
      <c r="L84"/>
      <c r="N84" s="298"/>
      <c r="O84" s="298"/>
      <c r="P84" s="298"/>
      <c r="Q84" s="298"/>
      <c r="R84" s="297"/>
      <c r="S84" s="298"/>
      <c r="T84" s="298"/>
      <c r="U84" s="298"/>
      <c r="V84" s="298"/>
      <c r="W84" s="298"/>
      <c r="X84" s="298"/>
      <c r="Y84" s="298"/>
      <c r="Z84" s="298"/>
    </row>
    <row r="85" spans="2:26" s="296" customFormat="1" ht="15" customHeight="1">
      <c r="B85"/>
      <c r="C85"/>
      <c r="D85"/>
      <c r="L85"/>
      <c r="N85" s="298"/>
      <c r="O85" s="298"/>
      <c r="P85" s="298"/>
      <c r="Q85" s="298"/>
      <c r="R85" s="297"/>
      <c r="S85" s="298"/>
      <c r="T85" s="298"/>
      <c r="U85" s="298"/>
      <c r="V85" s="298"/>
      <c r="W85" s="298"/>
      <c r="X85" s="298"/>
      <c r="Y85" s="298"/>
      <c r="Z85" s="298"/>
    </row>
    <row r="86" spans="2:26" s="296" customFormat="1" ht="15" customHeight="1">
      <c r="B86"/>
      <c r="C86"/>
      <c r="D86"/>
      <c r="L86"/>
      <c r="N86" s="298"/>
      <c r="O86" s="298"/>
      <c r="P86" s="298"/>
      <c r="Q86" s="298"/>
      <c r="R86" s="297"/>
      <c r="S86" s="298"/>
      <c r="T86" s="298"/>
      <c r="U86" s="298"/>
      <c r="V86" s="298"/>
      <c r="W86" s="298"/>
      <c r="X86" s="298"/>
      <c r="Y86" s="298"/>
      <c r="Z86" s="298"/>
    </row>
    <row r="87" spans="2:26">
      <c r="N87" s="298"/>
      <c r="O87" s="298"/>
      <c r="P87" s="298"/>
      <c r="Q87" s="298"/>
      <c r="R87" s="297"/>
      <c r="S87" s="298"/>
      <c r="T87" s="298"/>
      <c r="U87" s="298"/>
      <c r="V87" s="298"/>
      <c r="W87" s="298"/>
      <c r="X87" s="298"/>
      <c r="Y87" s="298"/>
      <c r="Z87" s="298"/>
    </row>
  </sheetData>
  <mergeCells count="43">
    <mergeCell ref="B54:C54"/>
    <mergeCell ref="B55:C55"/>
    <mergeCell ref="B46:C46"/>
    <mergeCell ref="B47:C47"/>
    <mergeCell ref="B48:C48"/>
    <mergeCell ref="B49:C49"/>
    <mergeCell ref="B50:C50"/>
    <mergeCell ref="B51:C51"/>
    <mergeCell ref="B52:C52"/>
    <mergeCell ref="B53:C53"/>
    <mergeCell ref="N9:S9"/>
    <mergeCell ref="N11:S11"/>
    <mergeCell ref="H8:T8"/>
    <mergeCell ref="B45:C45"/>
    <mergeCell ref="B41:C41"/>
    <mergeCell ref="B42:C42"/>
    <mergeCell ref="B35:C35"/>
    <mergeCell ref="B36:C36"/>
    <mergeCell ref="B43:C43"/>
    <mergeCell ref="B44:C44"/>
    <mergeCell ref="B40:C40"/>
    <mergeCell ref="B39:H39"/>
    <mergeCell ref="B31:C31"/>
    <mergeCell ref="B32:C32"/>
    <mergeCell ref="B33:C33"/>
    <mergeCell ref="B34:C34"/>
    <mergeCell ref="H9:M9"/>
    <mergeCell ref="H11:M11"/>
    <mergeCell ref="B26:C26"/>
    <mergeCell ref="B27:C27"/>
    <mergeCell ref="B28:C28"/>
    <mergeCell ref="B29:C29"/>
    <mergeCell ref="B30:C30"/>
    <mergeCell ref="B8:C8"/>
    <mergeCell ref="E8:G8"/>
    <mergeCell ref="B9:C11"/>
    <mergeCell ref="B12:C12"/>
    <mergeCell ref="B25:C25"/>
    <mergeCell ref="B2:T2"/>
    <mergeCell ref="C4:T4"/>
    <mergeCell ref="C5:T5"/>
    <mergeCell ref="C6:T6"/>
    <mergeCell ref="C7:T7"/>
  </mergeCells>
  <phoneticPr fontId="59" type="noConversion"/>
  <hyperlinks>
    <hyperlink ref="I2" location="INDICE!A1" display="INDICE" xr:uid="{00000000-0004-0000-0900-000000000000}"/>
    <hyperlink ref="O2" location="INDICE!A1" display="INDICE" xr:uid="{00000000-0004-0000-0900-000001000000}"/>
    <hyperlink ref="U3" location="INDICE!A1" display="INDICE" xr:uid="{A4840300-61A7-4237-A802-2C1D2F839CBE}"/>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L84"/>
  <sheetViews>
    <sheetView showGridLines="0" topLeftCell="A3" zoomScale="60" zoomScaleNormal="60" zoomScaleSheetLayoutView="50" workbookViewId="0">
      <selection activeCell="F25" sqref="F25"/>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14" width="11.33203125" customWidth="1"/>
    <col min="15" max="22" width="10.6640625" customWidth="1"/>
    <col min="23" max="23" width="13.33203125" customWidth="1"/>
    <col min="24" max="24" width="12" customWidth="1"/>
    <col min="25" max="25" width="31" customWidth="1"/>
    <col min="26" max="26" width="11.33203125" hidden="1" customWidth="1"/>
    <col min="27" max="27" width="10.75" hidden="1" customWidth="1"/>
    <col min="28" max="28" width="11.1640625" hidden="1" customWidth="1"/>
    <col min="29" max="29" width="11.33203125" hidden="1" customWidth="1"/>
    <col min="30" max="30" width="12" hidden="1" customWidth="1"/>
    <col min="31" max="31" width="11.33203125" hidden="1" customWidth="1"/>
    <col min="32" max="32" width="5.83203125" hidden="1" customWidth="1"/>
    <col min="33" max="33" width="11.33203125" hidden="1" customWidth="1"/>
    <col min="34" max="34" width="10.75" hidden="1" customWidth="1"/>
    <col min="35" max="35" width="11.1640625" hidden="1" customWidth="1"/>
    <col min="36" max="36" width="11.33203125" hidden="1" customWidth="1"/>
    <col min="37" max="37" width="12" hidden="1" customWidth="1"/>
    <col min="38" max="38" width="11.33203125" hidden="1" customWidth="1"/>
    <col min="39" max="39" width="0" hidden="1" customWidth="1"/>
  </cols>
  <sheetData>
    <row r="2" spans="2:38" ht="26.15" customHeight="1">
      <c r="B2" s="2661" t="s">
        <v>1099</v>
      </c>
      <c r="C2" s="2661"/>
      <c r="D2" s="2661"/>
      <c r="E2" s="2661"/>
      <c r="F2" s="2661"/>
      <c r="G2" s="2661"/>
      <c r="H2" s="2661"/>
      <c r="I2" s="2661"/>
      <c r="J2" s="2661"/>
      <c r="K2" s="2661"/>
      <c r="L2" s="2661"/>
      <c r="M2" s="2661"/>
      <c r="N2" s="2661"/>
    </row>
    <row r="3" spans="2:38" ht="14.5" thickBot="1"/>
    <row r="4" spans="2:38" ht="14.5" customHeight="1" thickBot="1">
      <c r="B4" s="2662" t="s">
        <v>82</v>
      </c>
      <c r="C4" s="2663"/>
      <c r="D4" s="2663"/>
      <c r="E4" s="2664"/>
      <c r="F4" s="2665" t="s">
        <v>315</v>
      </c>
      <c r="G4" s="2666"/>
      <c r="H4" s="2666"/>
      <c r="I4" s="2666"/>
      <c r="J4" s="2666"/>
      <c r="K4" s="2666"/>
      <c r="L4" s="2666"/>
      <c r="M4" s="2666"/>
      <c r="N4" s="2667"/>
    </row>
    <row r="5" spans="2:38" ht="14.5" customHeight="1" thickBot="1">
      <c r="B5" s="2662" t="s">
        <v>443</v>
      </c>
      <c r="C5" s="2663"/>
      <c r="D5" s="2663"/>
      <c r="E5" s="2664"/>
      <c r="F5" s="2665" t="s">
        <v>1096</v>
      </c>
      <c r="G5" s="2666"/>
      <c r="H5" s="2666"/>
      <c r="I5" s="2666"/>
      <c r="J5" s="2666"/>
      <c r="K5" s="2666"/>
      <c r="L5" s="2666"/>
      <c r="M5" s="2666"/>
      <c r="N5" s="2667"/>
    </row>
    <row r="6" spans="2:38" ht="14.5" customHeight="1" thickBot="1">
      <c r="B6" s="2662" t="s">
        <v>427</v>
      </c>
      <c r="C6" s="2663"/>
      <c r="D6" s="2663"/>
      <c r="E6" s="2664"/>
      <c r="F6" s="2665" t="s">
        <v>110</v>
      </c>
      <c r="G6" s="2666"/>
      <c r="H6" s="2666"/>
      <c r="I6" s="2666"/>
      <c r="J6" s="2666"/>
      <c r="K6" s="2666"/>
      <c r="L6" s="2666"/>
      <c r="M6" s="2666"/>
      <c r="N6" s="2667"/>
    </row>
    <row r="7" spans="2:38" ht="14.5" thickBot="1">
      <c r="B7" s="2662" t="s">
        <v>428</v>
      </c>
      <c r="C7" s="2663"/>
      <c r="D7" s="2663"/>
      <c r="E7" s="2664"/>
      <c r="F7" s="2665" t="s">
        <v>105</v>
      </c>
      <c r="G7" s="2666"/>
      <c r="H7" s="2666"/>
      <c r="I7" s="2666"/>
      <c r="J7" s="2668"/>
      <c r="K7" s="2668"/>
      <c r="L7" s="2668"/>
      <c r="M7" s="2668"/>
      <c r="N7" s="2669"/>
      <c r="W7" t="s">
        <v>1406</v>
      </c>
    </row>
    <row r="8" spans="2:38" ht="14.15" customHeight="1" thickBot="1">
      <c r="B8" s="852" t="s">
        <v>429</v>
      </c>
      <c r="C8" s="853"/>
      <c r="D8" s="853"/>
      <c r="E8" s="26" t="s">
        <v>111</v>
      </c>
      <c r="F8" s="2676" t="s">
        <v>450</v>
      </c>
      <c r="G8" s="2677"/>
      <c r="H8" s="2677"/>
      <c r="I8" s="2608" t="s">
        <v>451</v>
      </c>
      <c r="J8" s="2622"/>
      <c r="K8" s="2622"/>
      <c r="L8" s="2622"/>
      <c r="M8" s="2622"/>
      <c r="N8" s="2622"/>
      <c r="O8" s="2622"/>
      <c r="P8" s="2622"/>
      <c r="Q8" s="2622"/>
      <c r="R8" s="2622"/>
      <c r="S8" s="2622"/>
      <c r="T8" s="2622"/>
      <c r="U8" s="2609"/>
      <c r="W8" s="890" t="s">
        <v>1405</v>
      </c>
      <c r="X8" s="890"/>
    </row>
    <row r="9" spans="2:38" ht="37" customHeight="1" thickBot="1">
      <c r="B9" s="2670" t="s">
        <v>1097</v>
      </c>
      <c r="C9" s="851"/>
      <c r="D9" s="851"/>
      <c r="E9" s="17" t="s">
        <v>444</v>
      </c>
      <c r="F9" s="17" t="s">
        <v>445</v>
      </c>
      <c r="G9" s="17" t="s">
        <v>446</v>
      </c>
      <c r="H9" s="17" t="s">
        <v>447</v>
      </c>
      <c r="I9" s="2614" t="s">
        <v>1281</v>
      </c>
      <c r="J9" s="2678"/>
      <c r="K9" s="2678"/>
      <c r="L9" s="2678"/>
      <c r="M9" s="2678"/>
      <c r="N9" s="2615"/>
      <c r="O9" s="2647" t="s">
        <v>448</v>
      </c>
      <c r="P9" s="2648"/>
      <c r="Q9" s="2648"/>
      <c r="R9" s="2648"/>
      <c r="S9" s="2648"/>
      <c r="T9" s="2649"/>
      <c r="U9" s="17" t="s">
        <v>449</v>
      </c>
      <c r="W9" s="888" t="s">
        <v>1403</v>
      </c>
      <c r="X9" s="1477"/>
      <c r="Z9" s="2633" t="s">
        <v>1678</v>
      </c>
      <c r="AA9" s="2634"/>
      <c r="AB9" s="2634"/>
      <c r="AC9" s="2634"/>
      <c r="AD9" s="2634"/>
      <c r="AE9" s="2635"/>
      <c r="AG9" s="2633" t="s">
        <v>1677</v>
      </c>
      <c r="AH9" s="2634"/>
      <c r="AI9" s="2634"/>
      <c r="AJ9" s="2634"/>
      <c r="AK9" s="2634"/>
      <c r="AL9" s="2635"/>
    </row>
    <row r="10" spans="2:38" ht="14.15" customHeight="1">
      <c r="B10" s="2671"/>
      <c r="C10" s="2610" t="s">
        <v>423</v>
      </c>
      <c r="D10" s="2611"/>
      <c r="E10" s="2673" t="s">
        <v>867</v>
      </c>
      <c r="F10" s="27" t="s">
        <v>112</v>
      </c>
      <c r="G10" s="2673" t="s">
        <v>113</v>
      </c>
      <c r="H10" s="27" t="s">
        <v>114</v>
      </c>
      <c r="I10" s="74" t="s">
        <v>115</v>
      </c>
      <c r="J10" s="55"/>
      <c r="K10" s="55"/>
      <c r="L10" s="55"/>
      <c r="M10" s="55"/>
      <c r="N10" s="55"/>
      <c r="O10" s="27"/>
      <c r="P10" s="27"/>
      <c r="Q10" s="27"/>
      <c r="R10" s="27"/>
      <c r="S10" s="27"/>
      <c r="T10" s="27"/>
      <c r="U10" s="194" t="s">
        <v>118</v>
      </c>
      <c r="W10" s="194" t="s">
        <v>118</v>
      </c>
      <c r="X10" s="1478"/>
      <c r="Z10" s="1483" t="s">
        <v>115</v>
      </c>
      <c r="AA10" s="1484"/>
      <c r="AB10" s="1484"/>
      <c r="AC10" s="1484"/>
      <c r="AD10" s="1484"/>
      <c r="AE10" s="1484"/>
      <c r="AG10" s="1483" t="s">
        <v>115</v>
      </c>
      <c r="AH10" s="1484"/>
      <c r="AI10" s="1484"/>
      <c r="AJ10" s="1484"/>
      <c r="AK10" s="1484"/>
      <c r="AL10" s="1484"/>
    </row>
    <row r="11" spans="2:38" ht="55" customHeight="1" thickBot="1">
      <c r="B11" s="2671"/>
      <c r="C11" s="2612"/>
      <c r="D11" s="2613"/>
      <c r="E11" s="2672"/>
      <c r="F11" s="18" t="s">
        <v>868</v>
      </c>
      <c r="G11" s="2672"/>
      <c r="H11" s="18" t="s">
        <v>869</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tr">
        <f t="shared" ref="O11:T11" si="0">I11</f>
        <v>Sistema manejo estiércol: Almacenaje de sólidos</v>
      </c>
      <c r="P11" s="18" t="str">
        <f t="shared" si="0"/>
        <v>Sistema manejo estiércol: Compostaje</v>
      </c>
      <c r="Q11" s="18" t="str">
        <f t="shared" si="0"/>
        <v>Sistema manejo estiércol: Distribución diaria en pasturas</v>
      </c>
      <c r="R11" s="18" t="str">
        <f t="shared" si="0"/>
        <v>Sistema manejo estiércol: Líquido/fango</v>
      </c>
      <c r="S11" s="18" t="str">
        <f t="shared" si="0"/>
        <v>Otros Sistemas de Manejo</v>
      </c>
      <c r="T11" s="18" t="str">
        <f t="shared" si="0"/>
        <v>Sistema manejo estiércol: Pasturas, sin manejo</v>
      </c>
      <c r="U11" s="17" t="s">
        <v>1098</v>
      </c>
      <c r="W11" s="884" t="s">
        <v>1402</v>
      </c>
      <c r="X11" s="1479"/>
      <c r="Z11" s="1485" t="s">
        <v>1274</v>
      </c>
      <c r="AA11" s="1485" t="s">
        <v>1275</v>
      </c>
      <c r="AB11" s="1485" t="s">
        <v>1276</v>
      </c>
      <c r="AC11" s="1485" t="s">
        <v>1277</v>
      </c>
      <c r="AD11" s="1485" t="s">
        <v>1309</v>
      </c>
      <c r="AE11" s="1485" t="s">
        <v>1279</v>
      </c>
      <c r="AG11" s="1485" t="s">
        <v>1274</v>
      </c>
      <c r="AH11" s="1485" t="s">
        <v>1275</v>
      </c>
      <c r="AI11" s="1485" t="s">
        <v>1276</v>
      </c>
      <c r="AJ11" s="1485" t="s">
        <v>1277</v>
      </c>
      <c r="AK11" s="1485" t="s">
        <v>1309</v>
      </c>
      <c r="AL11" s="1485" t="s">
        <v>1279</v>
      </c>
    </row>
    <row r="12" spans="2:38" ht="20.149999999999999" customHeight="1">
      <c r="B12" s="2671"/>
      <c r="C12" s="2612"/>
      <c r="D12" s="2613"/>
      <c r="E12" s="2674"/>
      <c r="F12" s="2674" t="s">
        <v>452</v>
      </c>
      <c r="G12" s="2674" t="s">
        <v>453</v>
      </c>
      <c r="H12" s="2674" t="s">
        <v>119</v>
      </c>
      <c r="I12" s="2650" t="s">
        <v>1280</v>
      </c>
      <c r="J12" s="2651"/>
      <c r="K12" s="2651"/>
      <c r="L12" s="2651"/>
      <c r="M12" s="2651"/>
      <c r="N12" s="2652"/>
      <c r="O12" s="2650"/>
      <c r="P12" s="2651"/>
      <c r="Q12" s="2651"/>
      <c r="R12" s="2651"/>
      <c r="S12" s="2651"/>
      <c r="T12" s="2652"/>
      <c r="U12" s="28" t="s">
        <v>120</v>
      </c>
      <c r="W12" s="864"/>
      <c r="X12" s="825"/>
      <c r="Z12" s="2636" t="s">
        <v>1280</v>
      </c>
      <c r="AA12" s="2637"/>
      <c r="AB12" s="2637"/>
      <c r="AC12" s="2637"/>
      <c r="AD12" s="2637"/>
      <c r="AE12" s="2638"/>
      <c r="AG12" s="2636" t="s">
        <v>1280</v>
      </c>
      <c r="AH12" s="2637"/>
      <c r="AI12" s="2637"/>
      <c r="AJ12" s="2637"/>
      <c r="AK12" s="2637"/>
      <c r="AL12" s="2638"/>
    </row>
    <row r="13" spans="2:38" ht="27.65" customHeight="1" thickBot="1">
      <c r="B13" s="2672"/>
      <c r="C13" s="2614"/>
      <c r="D13" s="2615"/>
      <c r="E13" s="2675"/>
      <c r="F13" s="2675"/>
      <c r="G13" s="2675"/>
      <c r="H13" s="2675"/>
      <c r="I13" s="2653"/>
      <c r="J13" s="2654"/>
      <c r="K13" s="2654"/>
      <c r="L13" s="2654"/>
      <c r="M13" s="2654"/>
      <c r="N13" s="2655"/>
      <c r="O13" s="2653" t="s">
        <v>691</v>
      </c>
      <c r="P13" s="2654"/>
      <c r="Q13" s="2654"/>
      <c r="R13" s="2654"/>
      <c r="S13" s="2654"/>
      <c r="T13" s="2655"/>
      <c r="U13" s="20" t="s">
        <v>121</v>
      </c>
      <c r="W13" s="865"/>
      <c r="X13" s="825"/>
      <c r="Z13" s="2639"/>
      <c r="AA13" s="2640"/>
      <c r="AB13" s="2640"/>
      <c r="AC13" s="2640"/>
      <c r="AD13" s="2640"/>
      <c r="AE13" s="2641"/>
      <c r="AG13" s="2639"/>
      <c r="AH13" s="2640"/>
      <c r="AI13" s="2640"/>
      <c r="AJ13" s="2640"/>
      <c r="AK13" s="2640"/>
      <c r="AL13" s="2641"/>
    </row>
    <row r="14" spans="2:38" ht="27" customHeight="1" thickBot="1">
      <c r="B14" s="29" t="s">
        <v>122</v>
      </c>
      <c r="C14" s="2617" t="s">
        <v>123</v>
      </c>
      <c r="D14" s="2618"/>
      <c r="E14" s="19" t="s">
        <v>1311</v>
      </c>
      <c r="F14" s="19" t="s">
        <v>1312</v>
      </c>
      <c r="G14" s="19" t="s">
        <v>124</v>
      </c>
      <c r="H14" s="19" t="s">
        <v>1313</v>
      </c>
      <c r="I14" s="2617" t="s">
        <v>1310</v>
      </c>
      <c r="J14" s="2679"/>
      <c r="K14" s="2679"/>
      <c r="L14" s="2679"/>
      <c r="M14" s="2679"/>
      <c r="N14" s="2618"/>
      <c r="O14" s="2658" t="s">
        <v>125</v>
      </c>
      <c r="P14" s="2659"/>
      <c r="Q14" s="2659"/>
      <c r="R14" s="2659"/>
      <c r="S14" s="2659"/>
      <c r="T14" s="2660"/>
      <c r="U14" s="19" t="s">
        <v>126</v>
      </c>
      <c r="W14" s="889" t="s">
        <v>1404</v>
      </c>
      <c r="X14" s="1480"/>
      <c r="Z14" s="2642" t="s">
        <v>1675</v>
      </c>
      <c r="AA14" s="2643"/>
      <c r="AB14" s="2643"/>
      <c r="AC14" s="2643"/>
      <c r="AD14" s="2643"/>
      <c r="AE14" s="2644"/>
      <c r="AG14" s="2642" t="s">
        <v>1675</v>
      </c>
      <c r="AH14" s="2643"/>
      <c r="AI14" s="2643"/>
      <c r="AJ14" s="2643"/>
      <c r="AK14" s="2643"/>
      <c r="AL14" s="2644"/>
    </row>
    <row r="15" spans="2:38" ht="15.65" customHeight="1" thickTop="1" thickBot="1">
      <c r="B15" s="32"/>
      <c r="C15" s="789" t="s">
        <v>21</v>
      </c>
      <c r="D15" s="73" t="s">
        <v>1196</v>
      </c>
      <c r="E15" s="71">
        <f>'3A1 Fermentación E.'!D13</f>
        <v>522643.96630611242</v>
      </c>
      <c r="F15" s="20">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20">
        <v>0.01</v>
      </c>
      <c r="P15" s="20">
        <v>0.01</v>
      </c>
      <c r="Q15" s="20">
        <v>0</v>
      </c>
      <c r="R15" s="20">
        <v>0</v>
      </c>
      <c r="S15" s="20">
        <v>0.02</v>
      </c>
      <c r="T15" s="20">
        <v>0</v>
      </c>
      <c r="U15" s="891">
        <f>(E15*H15*J15%*P15*(44/28))+(E15*H15*I15%*O15*(44/28))+(E15*H15*K15%*Q15*(44/28))+(E15*H15*L15%*R15*(44/28))+(E15*H15*M15%*S15*(44/28))+(E15*H15*N15%*T15*(44/28))</f>
        <v>85070.583354445815</v>
      </c>
      <c r="W15" s="886">
        <f>E15*H15*N15%</f>
        <v>23193863.621930517</v>
      </c>
      <c r="X15" s="1481"/>
      <c r="Z15" s="1491">
        <f>$E15*$H15*I15%</f>
        <v>197817.87012506922</v>
      </c>
      <c r="AA15" s="1491">
        <f t="shared" ref="AA15:AE15" si="1">$E15*$H15*J15%</f>
        <v>2444326.4059273209</v>
      </c>
      <c r="AB15" s="1491">
        <f t="shared" si="1"/>
        <v>3944031.0628553992</v>
      </c>
      <c r="AC15" s="1491">
        <f t="shared" si="1"/>
        <v>7952.4771909575566</v>
      </c>
      <c r="AD15" s="1491">
        <f t="shared" si="1"/>
        <v>1385719.1505243536</v>
      </c>
      <c r="AE15" s="1491">
        <f t="shared" si="1"/>
        <v>23193863.621930517</v>
      </c>
      <c r="AG15" s="1491">
        <f>$E15*$H15*I15%*O15*(44/28)</f>
        <v>3108.566530536802</v>
      </c>
      <c r="AH15" s="1491">
        <f t="shared" ref="AH15:AL15" si="2">$E15*$H15*J15%*P15*(44/28)</f>
        <v>38410.84352171504</v>
      </c>
      <c r="AI15" s="1491">
        <f t="shared" si="2"/>
        <v>0</v>
      </c>
      <c r="AJ15" s="1491">
        <f t="shared" si="2"/>
        <v>0</v>
      </c>
      <c r="AK15" s="1491">
        <f t="shared" si="2"/>
        <v>43551.173302193973</v>
      </c>
      <c r="AL15" s="1491">
        <f t="shared" si="2"/>
        <v>0</v>
      </c>
    </row>
    <row r="16" spans="2:38" ht="15.65" customHeight="1" thickBot="1">
      <c r="B16" s="33"/>
      <c r="C16" s="789"/>
      <c r="D16" s="73" t="s">
        <v>1197</v>
      </c>
      <c r="E16" s="71">
        <f>'3A1 Fermentación E.'!D14</f>
        <v>262262.60745905043</v>
      </c>
      <c r="F16" s="20">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20">
        <v>0.01</v>
      </c>
      <c r="P16" s="20">
        <v>0.01</v>
      </c>
      <c r="Q16" s="20">
        <v>0</v>
      </c>
      <c r="R16" s="20">
        <v>0</v>
      </c>
      <c r="S16" s="20">
        <v>0.02</v>
      </c>
      <c r="T16" s="20">
        <v>0</v>
      </c>
      <c r="U16" s="891">
        <f t="shared" ref="U16:U37" si="3">(E16*H16*J16%*P16*(44/28))+(E16*H16*I16%*O16*(44/28))+(E16*H16*K16%*Q16*(44/28))+(E16*H16*L16%*R16*(44/28))+(E16*H16*M16%*S16*(44/28))+(E16*H16*N16%*T16*(44/28))</f>
        <v>2473.6173299385214</v>
      </c>
      <c r="W16" s="886">
        <f t="shared" ref="W16:W37" si="4">E16*H16*N16%</f>
        <v>20966069.124139749</v>
      </c>
      <c r="X16" s="1481"/>
      <c r="Z16" s="1491">
        <f t="shared" ref="Z16:Z37" si="5">$E16*$H16*I16%</f>
        <v>7338.5553335747582</v>
      </c>
      <c r="AA16" s="1491">
        <f t="shared" ref="AA16:AA37" si="6">$E16*$H16*J16%</f>
        <v>8806.2664002897109</v>
      </c>
      <c r="AB16" s="1491">
        <f t="shared" ref="AB16:AB37" si="7">$E16*$H16*K16%</f>
        <v>1403131.779779494</v>
      </c>
      <c r="AC16" s="1491">
        <f t="shared" ref="AC16:AC37" si="8">$E16*$H16*L16%</f>
        <v>146771.10667149519</v>
      </c>
      <c r="AD16" s="1491">
        <f t="shared" ref="AD16:AD37" si="9">$E16*$H16*M16%</f>
        <v>70633.595085657071</v>
      </c>
      <c r="AE16" s="1491">
        <f t="shared" ref="AE16:AE37" si="10">$E16*$H16*N16%</f>
        <v>20966069.124139749</v>
      </c>
      <c r="AG16" s="1491">
        <f t="shared" ref="AG16:AG37" si="11">$E16*$H16*I16%*O16*(44/28)</f>
        <v>115.32015524188907</v>
      </c>
      <c r="AH16" s="1491">
        <f t="shared" ref="AH16:AH37" si="12">$E16*$H16*J16%*P16*(44/28)</f>
        <v>138.38418629026688</v>
      </c>
      <c r="AI16" s="1491">
        <f t="shared" ref="AI16:AI37" si="13">$E16*$H16*K16%*Q16*(44/28)</f>
        <v>0</v>
      </c>
      <c r="AJ16" s="1491">
        <f t="shared" ref="AJ16:AJ37" si="14">$E16*$H16*L16%*R16*(44/28)</f>
        <v>0</v>
      </c>
      <c r="AK16" s="1491">
        <f t="shared" ref="AK16:AK37" si="15">$E16*$H16*M16%*S16*(44/28)</f>
        <v>2219.9129884063655</v>
      </c>
      <c r="AL16" s="1491">
        <f t="shared" ref="AL16:AL37" si="16">$E16*$H16*N16%*T16*(44/28)</f>
        <v>0</v>
      </c>
    </row>
    <row r="17" spans="2:38" ht="15.65" customHeight="1" thickBot="1">
      <c r="B17" s="33"/>
      <c r="C17" s="789"/>
      <c r="D17" s="73" t="s">
        <v>1198</v>
      </c>
      <c r="E17" s="71">
        <f>'3A1 Fermentación E.'!D15</f>
        <v>47621.018911879481</v>
      </c>
      <c r="F17" s="20">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20">
        <v>0.01</v>
      </c>
      <c r="P17" s="20">
        <v>0.01</v>
      </c>
      <c r="Q17" s="20">
        <v>0</v>
      </c>
      <c r="R17" s="20">
        <v>0</v>
      </c>
      <c r="S17" s="20">
        <v>0.02</v>
      </c>
      <c r="T17" s="20">
        <v>0</v>
      </c>
      <c r="U17" s="891">
        <f t="shared" si="3"/>
        <v>60.977385478350584</v>
      </c>
      <c r="W17" s="886">
        <f t="shared" si="4"/>
        <v>2878686.9344461327</v>
      </c>
      <c r="X17" s="1481"/>
      <c r="Z17" s="1491">
        <f t="shared" si="5"/>
        <v>2771.6993399250268</v>
      </c>
      <c r="AA17" s="1491">
        <f t="shared" si="6"/>
        <v>1108.6797359700106</v>
      </c>
      <c r="AB17" s="1491">
        <f t="shared" si="7"/>
        <v>0</v>
      </c>
      <c r="AC17" s="1491">
        <f t="shared" si="8"/>
        <v>0</v>
      </c>
      <c r="AD17" s="1491">
        <f t="shared" si="9"/>
        <v>0</v>
      </c>
      <c r="AE17" s="1491">
        <f t="shared" si="10"/>
        <v>2878686.9344461327</v>
      </c>
      <c r="AG17" s="1491">
        <f t="shared" si="11"/>
        <v>43.555275341678993</v>
      </c>
      <c r="AH17" s="1491">
        <f t="shared" si="12"/>
        <v>17.422110136671595</v>
      </c>
      <c r="AI17" s="1491">
        <f t="shared" si="13"/>
        <v>0</v>
      </c>
      <c r="AJ17" s="1491">
        <f t="shared" si="14"/>
        <v>0</v>
      </c>
      <c r="AK17" s="1491">
        <f t="shared" si="15"/>
        <v>0</v>
      </c>
      <c r="AL17" s="1491">
        <f t="shared" si="16"/>
        <v>0</v>
      </c>
    </row>
    <row r="18" spans="2:38" ht="14.5" thickBot="1">
      <c r="B18" s="33"/>
      <c r="C18" s="789" t="s">
        <v>37</v>
      </c>
      <c r="D18" s="73" t="s">
        <v>1196</v>
      </c>
      <c r="E18" s="71">
        <f>'3A1 Fermentación E.'!D16</f>
        <v>153765.65032782167</v>
      </c>
      <c r="F18" s="20">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20">
        <v>0.01</v>
      </c>
      <c r="P18" s="20">
        <v>0.01</v>
      </c>
      <c r="Q18" s="20">
        <v>0</v>
      </c>
      <c r="R18" s="20">
        <v>0</v>
      </c>
      <c r="S18" s="20">
        <v>0.02</v>
      </c>
      <c r="T18" s="20">
        <v>0</v>
      </c>
      <c r="U18" s="891">
        <f t="shared" si="3"/>
        <v>6320.9199276903064</v>
      </c>
      <c r="W18" s="886">
        <f t="shared" si="4"/>
        <v>7941771.7656516759</v>
      </c>
      <c r="X18" s="1481"/>
      <c r="Z18" s="1491">
        <f t="shared" si="5"/>
        <v>0</v>
      </c>
      <c r="AA18" s="1491">
        <f t="shared" si="6"/>
        <v>402240.35903483769</v>
      </c>
      <c r="AB18" s="1491">
        <f t="shared" si="7"/>
        <v>10210.716806268956</v>
      </c>
      <c r="AC18" s="1491">
        <f t="shared" si="8"/>
        <v>0</v>
      </c>
      <c r="AD18" s="1491">
        <f t="shared" si="9"/>
        <v>0</v>
      </c>
      <c r="AE18" s="1491">
        <f t="shared" si="10"/>
        <v>7941771.7656516759</v>
      </c>
      <c r="AG18" s="1491">
        <f t="shared" si="11"/>
        <v>0</v>
      </c>
      <c r="AH18" s="1491">
        <f t="shared" si="12"/>
        <v>6320.9199276903064</v>
      </c>
      <c r="AI18" s="1491">
        <f t="shared" si="13"/>
        <v>0</v>
      </c>
      <c r="AJ18" s="1491">
        <f t="shared" si="14"/>
        <v>0</v>
      </c>
      <c r="AK18" s="1491">
        <f t="shared" si="15"/>
        <v>0</v>
      </c>
      <c r="AL18" s="1491">
        <f t="shared" si="16"/>
        <v>0</v>
      </c>
    </row>
    <row r="19" spans="2:38" ht="14.5" thickBot="1">
      <c r="B19" s="33"/>
      <c r="C19" s="789"/>
      <c r="D19" s="73" t="s">
        <v>1197</v>
      </c>
      <c r="E19" s="71">
        <f>'3A1 Fermentación E.'!D17</f>
        <v>73566.157569364281</v>
      </c>
      <c r="F19" s="20">
        <v>0.28999999999999998</v>
      </c>
      <c r="G19" s="831">
        <f>'3B Manejo de Estiércol CH4'!F17</f>
        <v>535.6165240382536</v>
      </c>
      <c r="H19" s="72">
        <f t="shared" ref="H19:H37" si="17">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20">
        <v>0.01</v>
      </c>
      <c r="P19" s="20">
        <v>0.01</v>
      </c>
      <c r="Q19" s="20">
        <v>0</v>
      </c>
      <c r="R19" s="20">
        <v>0</v>
      </c>
      <c r="S19" s="20">
        <v>0.02</v>
      </c>
      <c r="T19" s="20">
        <v>0</v>
      </c>
      <c r="U19" s="891">
        <f t="shared" si="3"/>
        <v>23.407741671732634</v>
      </c>
      <c r="W19" s="886">
        <f t="shared" si="4"/>
        <v>3797941.5525138797</v>
      </c>
      <c r="X19" s="1481"/>
      <c r="Z19" s="1491">
        <f t="shared" si="5"/>
        <v>0</v>
      </c>
      <c r="AA19" s="1491">
        <f t="shared" si="6"/>
        <v>1489.5835609284402</v>
      </c>
      <c r="AB19" s="1491">
        <f t="shared" si="7"/>
        <v>23833.336974855043</v>
      </c>
      <c r="AC19" s="1491">
        <f t="shared" si="8"/>
        <v>347569.49754996941</v>
      </c>
      <c r="AD19" s="1491">
        <f t="shared" si="9"/>
        <v>0</v>
      </c>
      <c r="AE19" s="1491">
        <f t="shared" si="10"/>
        <v>3797941.5525138797</v>
      </c>
      <c r="AG19" s="1491">
        <f t="shared" si="11"/>
        <v>0</v>
      </c>
      <c r="AH19" s="1491">
        <f t="shared" si="12"/>
        <v>23.407741671732634</v>
      </c>
      <c r="AI19" s="1491">
        <f t="shared" si="13"/>
        <v>0</v>
      </c>
      <c r="AJ19" s="1491">
        <f t="shared" si="14"/>
        <v>0</v>
      </c>
      <c r="AK19" s="1491">
        <f t="shared" si="15"/>
        <v>0</v>
      </c>
      <c r="AL19" s="1491">
        <f t="shared" si="16"/>
        <v>0</v>
      </c>
    </row>
    <row r="20" spans="2:38" ht="14.5" thickBot="1">
      <c r="B20" s="33"/>
      <c r="C20" s="789"/>
      <c r="D20" s="73" t="s">
        <v>1198</v>
      </c>
      <c r="E20" s="71">
        <f>'3A1 Fermentación E.'!D18</f>
        <v>28493.155275733567</v>
      </c>
      <c r="F20" s="20">
        <v>0.28999999999999998</v>
      </c>
      <c r="G20" s="831">
        <f>'3B Manejo de Estiércol CH4'!F18</f>
        <v>460.03681752873558</v>
      </c>
      <c r="H20" s="72">
        <f t="shared" si="17"/>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20">
        <v>0.01</v>
      </c>
      <c r="P20" s="20">
        <v>0.01</v>
      </c>
      <c r="Q20" s="20">
        <v>0</v>
      </c>
      <c r="R20" s="20">
        <v>0</v>
      </c>
      <c r="S20" s="20">
        <v>0.02</v>
      </c>
      <c r="T20" s="20">
        <v>0</v>
      </c>
      <c r="U20" s="891">
        <f t="shared" si="3"/>
        <v>0</v>
      </c>
      <c r="W20" s="886">
        <f t="shared" si="4"/>
        <v>1357308.8464062721</v>
      </c>
      <c r="X20" s="1481"/>
      <c r="Z20" s="1491">
        <f t="shared" si="5"/>
        <v>0</v>
      </c>
      <c r="AA20" s="1491">
        <f t="shared" si="6"/>
        <v>0</v>
      </c>
      <c r="AB20" s="1491">
        <f t="shared" si="7"/>
        <v>30162.418809028266</v>
      </c>
      <c r="AC20" s="1491">
        <f t="shared" si="8"/>
        <v>0</v>
      </c>
      <c r="AD20" s="1491">
        <f t="shared" si="9"/>
        <v>0</v>
      </c>
      <c r="AE20" s="1491">
        <f t="shared" si="10"/>
        <v>1357308.8464062721</v>
      </c>
      <c r="AG20" s="1491">
        <f t="shared" si="11"/>
        <v>0</v>
      </c>
      <c r="AH20" s="1491">
        <f t="shared" si="12"/>
        <v>0</v>
      </c>
      <c r="AI20" s="1491">
        <f t="shared" si="13"/>
        <v>0</v>
      </c>
      <c r="AJ20" s="1491">
        <f t="shared" si="14"/>
        <v>0</v>
      </c>
      <c r="AK20" s="1491">
        <f t="shared" si="15"/>
        <v>0</v>
      </c>
      <c r="AL20" s="1491">
        <f t="shared" si="16"/>
        <v>0</v>
      </c>
    </row>
    <row r="21" spans="2:38" ht="14.5" thickBot="1">
      <c r="B21" s="33"/>
      <c r="C21" s="789" t="s">
        <v>38</v>
      </c>
      <c r="D21" s="73" t="s">
        <v>1196</v>
      </c>
      <c r="E21" s="71">
        <f>'3A1 Fermentación E.'!D19</f>
        <v>250720.66956215684</v>
      </c>
      <c r="F21" s="20">
        <v>0.28999999999999998</v>
      </c>
      <c r="G21" s="831">
        <f>'3B Manejo de Estiércol CH4'!F19</f>
        <v>375.7195952415147</v>
      </c>
      <c r="H21" s="72">
        <f t="shared" si="17"/>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20">
        <v>0.01</v>
      </c>
      <c r="P21" s="20">
        <v>0.01</v>
      </c>
      <c r="Q21" s="20">
        <v>0</v>
      </c>
      <c r="R21" s="20">
        <v>0</v>
      </c>
      <c r="S21" s="20">
        <v>0.02</v>
      </c>
      <c r="T21" s="20">
        <v>0</v>
      </c>
      <c r="U21" s="891">
        <f t="shared" si="3"/>
        <v>7544.3022676215278</v>
      </c>
      <c r="W21" s="886">
        <f t="shared" si="4"/>
        <v>9478861.8470020425</v>
      </c>
      <c r="X21" s="1481"/>
      <c r="Z21" s="1491">
        <f t="shared" si="5"/>
        <v>0</v>
      </c>
      <c r="AA21" s="1491">
        <f t="shared" si="6"/>
        <v>480091.96248500625</v>
      </c>
      <c r="AB21" s="1491">
        <f t="shared" si="7"/>
        <v>12186.949816927081</v>
      </c>
      <c r="AC21" s="1491">
        <f t="shared" si="8"/>
        <v>0</v>
      </c>
      <c r="AD21" s="1491">
        <f t="shared" si="9"/>
        <v>0</v>
      </c>
      <c r="AE21" s="1491">
        <f t="shared" si="10"/>
        <v>9478861.8470020425</v>
      </c>
      <c r="AG21" s="1491">
        <f t="shared" si="11"/>
        <v>0</v>
      </c>
      <c r="AH21" s="1491">
        <f t="shared" si="12"/>
        <v>7544.3022676215278</v>
      </c>
      <c r="AI21" s="1491">
        <f t="shared" si="13"/>
        <v>0</v>
      </c>
      <c r="AJ21" s="1491">
        <f t="shared" si="14"/>
        <v>0</v>
      </c>
      <c r="AK21" s="1491">
        <f t="shared" si="15"/>
        <v>0</v>
      </c>
      <c r="AL21" s="1491">
        <f t="shared" si="16"/>
        <v>0</v>
      </c>
    </row>
    <row r="22" spans="2:38" ht="14.5" thickBot="1">
      <c r="B22" s="33"/>
      <c r="C22" s="789"/>
      <c r="D22" s="73" t="s">
        <v>1197</v>
      </c>
      <c r="E22" s="71">
        <f>'3A1 Fermentación E.'!D20</f>
        <v>401964.13996071398</v>
      </c>
      <c r="F22" s="20">
        <v>0.28999999999999998</v>
      </c>
      <c r="G22" s="831">
        <f>'3B Manejo de Estiércol CH4'!F20</f>
        <v>430.6086368415809</v>
      </c>
      <c r="H22" s="72">
        <f t="shared" si="17"/>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20">
        <v>0.01</v>
      </c>
      <c r="P22" s="20">
        <v>0.01</v>
      </c>
      <c r="Q22" s="20">
        <v>0</v>
      </c>
      <c r="R22" s="20">
        <v>0</v>
      </c>
      <c r="S22" s="20">
        <v>0.02</v>
      </c>
      <c r="T22" s="20">
        <v>0</v>
      </c>
      <c r="U22" s="891">
        <f t="shared" si="3"/>
        <v>102.82471702990304</v>
      </c>
      <c r="W22" s="886">
        <f t="shared" si="4"/>
        <v>16683466.13312757</v>
      </c>
      <c r="X22" s="1481"/>
      <c r="Z22" s="1491">
        <f t="shared" si="5"/>
        <v>0</v>
      </c>
      <c r="AA22" s="1491">
        <f t="shared" si="6"/>
        <v>6543.3910837211024</v>
      </c>
      <c r="AB22" s="1491">
        <f t="shared" si="7"/>
        <v>104694.25733953764</v>
      </c>
      <c r="AC22" s="1491">
        <f t="shared" si="8"/>
        <v>1526791.2528682572</v>
      </c>
      <c r="AD22" s="1491">
        <f t="shared" si="9"/>
        <v>0</v>
      </c>
      <c r="AE22" s="1491">
        <f t="shared" si="10"/>
        <v>16683466.13312757</v>
      </c>
      <c r="AG22" s="1491">
        <f t="shared" si="11"/>
        <v>0</v>
      </c>
      <c r="AH22" s="1491">
        <f t="shared" si="12"/>
        <v>102.82471702990304</v>
      </c>
      <c r="AI22" s="1491">
        <f t="shared" si="13"/>
        <v>0</v>
      </c>
      <c r="AJ22" s="1491">
        <f t="shared" si="14"/>
        <v>0</v>
      </c>
      <c r="AK22" s="1491">
        <f t="shared" si="15"/>
        <v>0</v>
      </c>
      <c r="AL22" s="1491">
        <f t="shared" si="16"/>
        <v>0</v>
      </c>
    </row>
    <row r="23" spans="2:38" ht="14.5" thickBot="1">
      <c r="B23" s="33"/>
      <c r="C23" s="789"/>
      <c r="D23" s="73" t="s">
        <v>1198</v>
      </c>
      <c r="E23" s="71">
        <f>'3A1 Fermentación E.'!D21</f>
        <v>74474.300818076343</v>
      </c>
      <c r="F23" s="20">
        <v>0.28999999999999998</v>
      </c>
      <c r="G23" s="831">
        <f>'3B Manejo de Estiércol CH4'!F21</f>
        <v>427.92285873825921</v>
      </c>
      <c r="H23" s="72">
        <f t="shared" si="17"/>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20">
        <v>0.01</v>
      </c>
      <c r="P23" s="20">
        <v>0.01</v>
      </c>
      <c r="Q23" s="20">
        <v>0</v>
      </c>
      <c r="R23" s="20">
        <v>0</v>
      </c>
      <c r="S23" s="20">
        <v>0.02</v>
      </c>
      <c r="T23" s="20">
        <v>0</v>
      </c>
      <c r="U23" s="891">
        <f t="shared" si="3"/>
        <v>0</v>
      </c>
      <c r="W23" s="886">
        <f t="shared" si="4"/>
        <v>3300026.788130641</v>
      </c>
      <c r="X23" s="1481"/>
      <c r="Z23" s="1491">
        <f t="shared" si="5"/>
        <v>0</v>
      </c>
      <c r="AA23" s="1491">
        <f t="shared" si="6"/>
        <v>0</v>
      </c>
      <c r="AB23" s="1491">
        <f t="shared" si="7"/>
        <v>73333.928625125351</v>
      </c>
      <c r="AC23" s="1491">
        <f t="shared" si="8"/>
        <v>0</v>
      </c>
      <c r="AD23" s="1491">
        <f t="shared" si="9"/>
        <v>0</v>
      </c>
      <c r="AE23" s="1491">
        <f t="shared" si="10"/>
        <v>3300026.788130641</v>
      </c>
      <c r="AG23" s="1491">
        <f t="shared" si="11"/>
        <v>0</v>
      </c>
      <c r="AH23" s="1491">
        <f t="shared" si="12"/>
        <v>0</v>
      </c>
      <c r="AI23" s="1491">
        <f t="shared" si="13"/>
        <v>0</v>
      </c>
      <c r="AJ23" s="1491">
        <f t="shared" si="14"/>
        <v>0</v>
      </c>
      <c r="AK23" s="1491">
        <f t="shared" si="15"/>
        <v>0</v>
      </c>
      <c r="AL23" s="1491">
        <f t="shared" si="16"/>
        <v>0</v>
      </c>
    </row>
    <row r="24" spans="2:38" ht="14.5" thickBot="1">
      <c r="B24" s="33"/>
      <c r="C24" s="789" t="s">
        <v>39</v>
      </c>
      <c r="D24" s="73" t="s">
        <v>1196</v>
      </c>
      <c r="E24" s="71">
        <f>'3A1 Fermentación E.'!D22</f>
        <v>1036600.4716451596</v>
      </c>
      <c r="F24" s="20">
        <v>0.28999999999999998</v>
      </c>
      <c r="G24" s="831">
        <f>'3B Manejo de Estiércol CH4'!F22</f>
        <v>165.49942954700774</v>
      </c>
      <c r="H24" s="72">
        <f t="shared" si="17"/>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20">
        <v>0.01</v>
      </c>
      <c r="P24" s="20">
        <v>0.01</v>
      </c>
      <c r="Q24" s="20">
        <v>0</v>
      </c>
      <c r="R24" s="20">
        <v>0</v>
      </c>
      <c r="S24" s="20">
        <v>0.02</v>
      </c>
      <c r="T24" s="20">
        <v>0</v>
      </c>
      <c r="U24" s="891">
        <f t="shared" si="3"/>
        <v>13739.565503221453</v>
      </c>
      <c r="W24" s="886">
        <f t="shared" si="4"/>
        <v>17262755.205582481</v>
      </c>
      <c r="X24" s="1481"/>
      <c r="Z24" s="1491">
        <f t="shared" si="5"/>
        <v>0</v>
      </c>
      <c r="AA24" s="1491">
        <f t="shared" si="6"/>
        <v>874335.98656863789</v>
      </c>
      <c r="AB24" s="1491">
        <f t="shared" si="7"/>
        <v>22194.682735973114</v>
      </c>
      <c r="AC24" s="1491">
        <f t="shared" si="8"/>
        <v>0</v>
      </c>
      <c r="AD24" s="1491">
        <f t="shared" si="9"/>
        <v>0</v>
      </c>
      <c r="AE24" s="1491">
        <f t="shared" si="10"/>
        <v>17262755.205582481</v>
      </c>
      <c r="AG24" s="1491">
        <f t="shared" si="11"/>
        <v>0</v>
      </c>
      <c r="AH24" s="1491">
        <f t="shared" si="12"/>
        <v>13739.565503221453</v>
      </c>
      <c r="AI24" s="1491">
        <f t="shared" si="13"/>
        <v>0</v>
      </c>
      <c r="AJ24" s="1491">
        <f t="shared" si="14"/>
        <v>0</v>
      </c>
      <c r="AK24" s="1491">
        <f t="shared" si="15"/>
        <v>0</v>
      </c>
      <c r="AL24" s="1491">
        <f t="shared" si="16"/>
        <v>0</v>
      </c>
    </row>
    <row r="25" spans="2:38" ht="14.5" thickBot="1">
      <c r="B25" s="33"/>
      <c r="C25" s="789"/>
      <c r="D25" s="73" t="s">
        <v>1197</v>
      </c>
      <c r="E25" s="71">
        <f>'3A1 Fermentación E.'!D23</f>
        <v>984149.28078222531</v>
      </c>
      <c r="F25" s="20">
        <v>0.28999999999999998</v>
      </c>
      <c r="G25" s="831">
        <f>'3B Manejo de Estiércol CH4'!F23</f>
        <v>174.42758948089647</v>
      </c>
      <c r="H25" s="72">
        <f t="shared" si="17"/>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20">
        <v>0.01</v>
      </c>
      <c r="P25" s="20">
        <v>0.01</v>
      </c>
      <c r="Q25" s="20">
        <v>0</v>
      </c>
      <c r="R25" s="20">
        <v>0</v>
      </c>
      <c r="S25" s="20">
        <v>0.02</v>
      </c>
      <c r="T25" s="20">
        <v>0</v>
      </c>
      <c r="U25" s="891">
        <f t="shared" si="3"/>
        <v>101.97732945729399</v>
      </c>
      <c r="W25" s="886">
        <f t="shared" si="4"/>
        <v>16545976.21555119</v>
      </c>
      <c r="X25" s="1481"/>
      <c r="Z25" s="1491">
        <f t="shared" si="5"/>
        <v>0</v>
      </c>
      <c r="AA25" s="1491">
        <f t="shared" si="6"/>
        <v>6489.4664200096177</v>
      </c>
      <c r="AB25" s="1491">
        <f t="shared" si="7"/>
        <v>103831.46272015388</v>
      </c>
      <c r="AC25" s="1491">
        <f t="shared" si="8"/>
        <v>1514208.8313355776</v>
      </c>
      <c r="AD25" s="1491">
        <f t="shared" si="9"/>
        <v>0</v>
      </c>
      <c r="AE25" s="1491">
        <f t="shared" si="10"/>
        <v>16545976.21555119</v>
      </c>
      <c r="AG25" s="1491">
        <f t="shared" si="11"/>
        <v>0</v>
      </c>
      <c r="AH25" s="1491">
        <f t="shared" si="12"/>
        <v>101.97732945729399</v>
      </c>
      <c r="AI25" s="1491">
        <f t="shared" si="13"/>
        <v>0</v>
      </c>
      <c r="AJ25" s="1491">
        <f t="shared" si="14"/>
        <v>0</v>
      </c>
      <c r="AK25" s="1491">
        <f t="shared" si="15"/>
        <v>0</v>
      </c>
      <c r="AL25" s="1491">
        <f t="shared" si="16"/>
        <v>0</v>
      </c>
    </row>
    <row r="26" spans="2:38" ht="14.5" thickBot="1">
      <c r="B26" s="33"/>
      <c r="C26" s="70"/>
      <c r="D26" s="73" t="s">
        <v>1198</v>
      </c>
      <c r="E26" s="71">
        <f>'3A1 Fermentación E.'!D24</f>
        <v>220534.27465427853</v>
      </c>
      <c r="F26" s="20">
        <v>0.28999999999999998</v>
      </c>
      <c r="G26" s="831">
        <f>'3B Manejo de Estiércol CH4'!F24</f>
        <v>174.58748571170864</v>
      </c>
      <c r="H26" s="72">
        <f t="shared" si="17"/>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20">
        <v>0.01</v>
      </c>
      <c r="P26" s="20">
        <v>0.01</v>
      </c>
      <c r="Q26" s="20">
        <v>0</v>
      </c>
      <c r="R26" s="20">
        <v>0</v>
      </c>
      <c r="S26" s="20">
        <v>0.02</v>
      </c>
      <c r="T26" s="20">
        <v>0</v>
      </c>
      <c r="U26" s="891">
        <f t="shared" si="3"/>
        <v>0</v>
      </c>
      <c r="W26" s="886">
        <f t="shared" si="4"/>
        <v>3986894.5640087202</v>
      </c>
      <c r="X26" s="1481"/>
      <c r="Z26" s="1491">
        <f t="shared" si="5"/>
        <v>0</v>
      </c>
      <c r="AA26" s="1491">
        <f t="shared" si="6"/>
        <v>0</v>
      </c>
      <c r="AB26" s="1491">
        <f t="shared" si="7"/>
        <v>88597.65697797155</v>
      </c>
      <c r="AC26" s="1491">
        <f t="shared" si="8"/>
        <v>0</v>
      </c>
      <c r="AD26" s="1491">
        <f t="shared" si="9"/>
        <v>0</v>
      </c>
      <c r="AE26" s="1491">
        <f t="shared" si="10"/>
        <v>3986894.5640087202</v>
      </c>
      <c r="AG26" s="1491">
        <f t="shared" si="11"/>
        <v>0</v>
      </c>
      <c r="AH26" s="1491">
        <f t="shared" si="12"/>
        <v>0</v>
      </c>
      <c r="AI26" s="1491">
        <f t="shared" si="13"/>
        <v>0</v>
      </c>
      <c r="AJ26" s="1491">
        <f t="shared" si="14"/>
        <v>0</v>
      </c>
      <c r="AK26" s="1491">
        <f t="shared" si="15"/>
        <v>0</v>
      </c>
      <c r="AL26" s="1491">
        <f t="shared" si="16"/>
        <v>0</v>
      </c>
    </row>
    <row r="27" spans="2:38" ht="14.5" thickBot="1">
      <c r="B27" s="33"/>
      <c r="C27" s="2656" t="s">
        <v>40</v>
      </c>
      <c r="D27" s="2657"/>
      <c r="E27" s="71">
        <f>'3A1 Fermentación E.'!D25</f>
        <v>3839</v>
      </c>
      <c r="F27" s="20">
        <v>0.41</v>
      </c>
      <c r="G27" s="831">
        <f>'3B Manejo de Estiércol CH4'!F25</f>
        <v>315</v>
      </c>
      <c r="H27" s="72">
        <f t="shared" si="17"/>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20">
        <v>0.01</v>
      </c>
      <c r="P27" s="20">
        <v>0.01</v>
      </c>
      <c r="Q27" s="20">
        <v>0</v>
      </c>
      <c r="R27" s="20">
        <v>0</v>
      </c>
      <c r="S27" s="20">
        <v>0.02</v>
      </c>
      <c r="T27" s="20">
        <v>0</v>
      </c>
      <c r="U27" s="891">
        <f t="shared" si="3"/>
        <v>341.25677189999999</v>
      </c>
      <c r="W27" s="886">
        <f t="shared" si="4"/>
        <v>168301.63523250003</v>
      </c>
      <c r="X27" s="1481"/>
      <c r="Z27" s="1491">
        <f t="shared" si="5"/>
        <v>3619.3900050000002</v>
      </c>
      <c r="AA27" s="1491">
        <f t="shared" si="6"/>
        <v>0</v>
      </c>
      <c r="AB27" s="1491">
        <f t="shared" si="7"/>
        <v>0</v>
      </c>
      <c r="AC27" s="1491">
        <f t="shared" si="8"/>
        <v>0</v>
      </c>
      <c r="AD27" s="1491">
        <f t="shared" si="9"/>
        <v>9048.475012500001</v>
      </c>
      <c r="AE27" s="1491">
        <f t="shared" si="10"/>
        <v>168301.63523250003</v>
      </c>
      <c r="AG27" s="1491">
        <f t="shared" si="11"/>
        <v>56.876128650000005</v>
      </c>
      <c r="AH27" s="1491">
        <f t="shared" si="12"/>
        <v>0</v>
      </c>
      <c r="AI27" s="1491">
        <f t="shared" si="13"/>
        <v>0</v>
      </c>
      <c r="AJ27" s="1491">
        <f t="shared" si="14"/>
        <v>0</v>
      </c>
      <c r="AK27" s="1491">
        <f t="shared" si="15"/>
        <v>284.38064324999999</v>
      </c>
      <c r="AL27" s="1491">
        <f t="shared" si="16"/>
        <v>0</v>
      </c>
    </row>
    <row r="28" spans="2:38" ht="14.5" thickBot="1">
      <c r="B28" s="33"/>
      <c r="C28" s="2656" t="s">
        <v>26</v>
      </c>
      <c r="D28" s="2657"/>
      <c r="E28" s="71">
        <f>'3A1 Fermentación E.'!D26</f>
        <v>498952.01288858696</v>
      </c>
      <c r="F28" s="20">
        <v>0.32</v>
      </c>
      <c r="G28" s="831">
        <f>'3B Manejo de Estiércol CH4'!F26</f>
        <v>31</v>
      </c>
      <c r="H28" s="72">
        <f t="shared" si="17"/>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20">
        <v>0.01</v>
      </c>
      <c r="P28" s="20">
        <v>0.01</v>
      </c>
      <c r="Q28" s="20">
        <v>0</v>
      </c>
      <c r="R28" s="20">
        <v>0</v>
      </c>
      <c r="S28" s="20">
        <v>0.02</v>
      </c>
      <c r="T28" s="20">
        <v>0</v>
      </c>
      <c r="U28" s="891">
        <f t="shared" si="3"/>
        <v>5677.9028374105583</v>
      </c>
      <c r="W28" s="886">
        <f t="shared" si="4"/>
        <v>1445284.3586135965</v>
      </c>
      <c r="X28" s="1481"/>
      <c r="Z28" s="1491">
        <f t="shared" si="5"/>
        <v>307122.92620538926</v>
      </c>
      <c r="AA28" s="1491">
        <f t="shared" si="6"/>
        <v>54198.163448009866</v>
      </c>
      <c r="AB28" s="1491">
        <f t="shared" si="7"/>
        <v>0</v>
      </c>
      <c r="AC28" s="1491">
        <f t="shared" si="8"/>
        <v>0</v>
      </c>
      <c r="AD28" s="1491">
        <f t="shared" si="9"/>
        <v>0</v>
      </c>
      <c r="AE28" s="1491">
        <f t="shared" si="10"/>
        <v>1445284.3586135965</v>
      </c>
      <c r="AG28" s="1491">
        <f t="shared" si="11"/>
        <v>4826.2174117989744</v>
      </c>
      <c r="AH28" s="1491">
        <f t="shared" si="12"/>
        <v>851.6854256115837</v>
      </c>
      <c r="AI28" s="1491">
        <f t="shared" si="13"/>
        <v>0</v>
      </c>
      <c r="AJ28" s="1491">
        <f t="shared" si="14"/>
        <v>0</v>
      </c>
      <c r="AK28" s="1491">
        <f t="shared" si="15"/>
        <v>0</v>
      </c>
      <c r="AL28" s="1491">
        <f t="shared" si="16"/>
        <v>0</v>
      </c>
    </row>
    <row r="29" spans="2:38" ht="14.5" thickBot="1">
      <c r="B29" s="33"/>
      <c r="C29" s="2656" t="s">
        <v>27</v>
      </c>
      <c r="D29" s="2657"/>
      <c r="E29" s="71">
        <f>'3A1 Fermentación E.'!D27</f>
        <v>21745.306881266912</v>
      </c>
      <c r="F29" s="20">
        <v>0.34</v>
      </c>
      <c r="G29" s="831">
        <f>'3B Manejo de Estiércol CH4'!F27</f>
        <v>24</v>
      </c>
      <c r="H29" s="72">
        <f t="shared" si="17"/>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20">
        <v>0.01</v>
      </c>
      <c r="P29" s="20">
        <v>0.01</v>
      </c>
      <c r="Q29" s="20">
        <v>0</v>
      </c>
      <c r="R29" s="20">
        <v>0</v>
      </c>
      <c r="S29" s="20">
        <v>0.02</v>
      </c>
      <c r="T29" s="20">
        <v>0</v>
      </c>
      <c r="U29" s="891">
        <f t="shared" si="3"/>
        <v>203.55098347623405</v>
      </c>
      <c r="W29" s="886">
        <f t="shared" si="4"/>
        <v>51812.977612132301</v>
      </c>
      <c r="X29" s="1481"/>
      <c r="Z29" s="1491">
        <f t="shared" si="5"/>
        <v>11010.257742578115</v>
      </c>
      <c r="AA29" s="1491">
        <f t="shared" si="6"/>
        <v>1942.9866604549611</v>
      </c>
      <c r="AB29" s="1491">
        <f t="shared" si="7"/>
        <v>0</v>
      </c>
      <c r="AC29" s="1491">
        <f t="shared" si="8"/>
        <v>0</v>
      </c>
      <c r="AD29" s="1491">
        <f t="shared" si="9"/>
        <v>0</v>
      </c>
      <c r="AE29" s="1491">
        <f t="shared" si="10"/>
        <v>51812.977612132301</v>
      </c>
      <c r="AG29" s="1491">
        <f t="shared" si="11"/>
        <v>173.01833595479894</v>
      </c>
      <c r="AH29" s="1491">
        <f t="shared" si="12"/>
        <v>30.532647521435106</v>
      </c>
      <c r="AI29" s="1491">
        <f t="shared" si="13"/>
        <v>0</v>
      </c>
      <c r="AJ29" s="1491">
        <f t="shared" si="14"/>
        <v>0</v>
      </c>
      <c r="AK29" s="1491">
        <f t="shared" si="15"/>
        <v>0</v>
      </c>
      <c r="AL29" s="1491">
        <f t="shared" si="16"/>
        <v>0</v>
      </c>
    </row>
    <row r="30" spans="2:38" ht="14.5" thickBot="1">
      <c r="B30" s="33"/>
      <c r="C30" s="2656" t="s">
        <v>752</v>
      </c>
      <c r="D30" s="2657"/>
      <c r="E30" s="71">
        <f>'3A1 Fermentación E.'!D28</f>
        <v>20949.78325706191</v>
      </c>
      <c r="F30" s="20">
        <v>0.46</v>
      </c>
      <c r="G30" s="831">
        <f>'3B Manejo de Estiércol CH4'!F28</f>
        <v>65</v>
      </c>
      <c r="H30" s="72">
        <f t="shared" si="17"/>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20">
        <v>0.01</v>
      </c>
      <c r="P30" s="20">
        <v>0.01</v>
      </c>
      <c r="Q30" s="20">
        <v>0</v>
      </c>
      <c r="R30" s="20">
        <v>0</v>
      </c>
      <c r="S30" s="20">
        <v>0.02</v>
      </c>
      <c r="T30" s="20">
        <v>0</v>
      </c>
      <c r="U30" s="891">
        <f t="shared" si="3"/>
        <v>718.56858723868481</v>
      </c>
      <c r="W30" s="886">
        <f t="shared" si="4"/>
        <v>182908.36766075614</v>
      </c>
      <c r="X30" s="1481"/>
      <c r="Z30" s="1491">
        <f t="shared" si="5"/>
        <v>38868.028127910678</v>
      </c>
      <c r="AA30" s="1491">
        <f t="shared" si="6"/>
        <v>6859.0637872783545</v>
      </c>
      <c r="AB30" s="1491">
        <f t="shared" si="7"/>
        <v>0</v>
      </c>
      <c r="AC30" s="1491">
        <f t="shared" si="8"/>
        <v>0</v>
      </c>
      <c r="AD30" s="1491">
        <f t="shared" si="9"/>
        <v>0</v>
      </c>
      <c r="AE30" s="1491">
        <f t="shared" si="10"/>
        <v>182908.36766075614</v>
      </c>
      <c r="AG30" s="1491">
        <f t="shared" si="11"/>
        <v>610.78329915288214</v>
      </c>
      <c r="AH30" s="1491">
        <f t="shared" si="12"/>
        <v>107.78528808580272</v>
      </c>
      <c r="AI30" s="1491">
        <f t="shared" si="13"/>
        <v>0</v>
      </c>
      <c r="AJ30" s="1491">
        <f t="shared" si="14"/>
        <v>0</v>
      </c>
      <c r="AK30" s="1491">
        <f t="shared" si="15"/>
        <v>0</v>
      </c>
      <c r="AL30" s="1491">
        <f t="shared" si="16"/>
        <v>0</v>
      </c>
    </row>
    <row r="31" spans="2:38" ht="15.65" customHeight="1" thickBot="1">
      <c r="B31" s="33"/>
      <c r="C31" s="2656" t="s">
        <v>28</v>
      </c>
      <c r="D31" s="2657"/>
      <c r="E31" s="71">
        <f>'3A1 Fermentación E.'!D29</f>
        <v>260479.01686208553</v>
      </c>
      <c r="F31" s="20">
        <v>0.46</v>
      </c>
      <c r="G31" s="831">
        <f>'3B Manejo de Estiércol CH4'!F29</f>
        <v>238</v>
      </c>
      <c r="H31" s="72">
        <f t="shared" si="17"/>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20">
        <v>0.01</v>
      </c>
      <c r="P31" s="20">
        <v>0.01</v>
      </c>
      <c r="Q31" s="20">
        <v>0</v>
      </c>
      <c r="R31" s="20">
        <v>0</v>
      </c>
      <c r="S31" s="20">
        <v>0.02</v>
      </c>
      <c r="T31" s="20">
        <v>0</v>
      </c>
      <c r="U31" s="891">
        <f t="shared" si="3"/>
        <v>32713.351344495833</v>
      </c>
      <c r="W31" s="886">
        <f t="shared" si="4"/>
        <v>8327034.8876898484</v>
      </c>
      <c r="X31" s="1481"/>
      <c r="Z31" s="1491">
        <f t="shared" si="5"/>
        <v>1769494.9136340928</v>
      </c>
      <c r="AA31" s="1491">
        <f t="shared" si="6"/>
        <v>312263.80828836927</v>
      </c>
      <c r="AB31" s="1491">
        <f t="shared" si="7"/>
        <v>0</v>
      </c>
      <c r="AC31" s="1491">
        <f t="shared" si="8"/>
        <v>0</v>
      </c>
      <c r="AD31" s="1491">
        <f t="shared" si="9"/>
        <v>0</v>
      </c>
      <c r="AE31" s="1491">
        <f t="shared" si="10"/>
        <v>8327034.8876898484</v>
      </c>
      <c r="AG31" s="1491">
        <f t="shared" si="11"/>
        <v>27806.34864282146</v>
      </c>
      <c r="AH31" s="1491">
        <f t="shared" si="12"/>
        <v>4907.0027016743743</v>
      </c>
      <c r="AI31" s="1491">
        <f t="shared" si="13"/>
        <v>0</v>
      </c>
      <c r="AJ31" s="1491">
        <f t="shared" si="14"/>
        <v>0</v>
      </c>
      <c r="AK31" s="1491">
        <f t="shared" si="15"/>
        <v>0</v>
      </c>
      <c r="AL31" s="1491">
        <f t="shared" si="16"/>
        <v>0</v>
      </c>
    </row>
    <row r="32" spans="2:38" ht="14.5" thickBot="1">
      <c r="B32" s="33"/>
      <c r="C32" s="2656" t="s">
        <v>42</v>
      </c>
      <c r="D32" s="2657"/>
      <c r="E32" s="71">
        <f>'3A1 Fermentación E.'!D30</f>
        <v>147168.66440364331</v>
      </c>
      <c r="F32" s="20">
        <v>0.46</v>
      </c>
      <c r="G32" s="831">
        <f>'3B Manejo de Estiércol CH4'!F30</f>
        <v>130</v>
      </c>
      <c r="H32" s="72">
        <f t="shared" si="17"/>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20">
        <v>0.01</v>
      </c>
      <c r="P32" s="20">
        <v>0.01</v>
      </c>
      <c r="Q32" s="20">
        <v>0</v>
      </c>
      <c r="R32" s="20">
        <v>0</v>
      </c>
      <c r="S32" s="20">
        <v>0.02</v>
      </c>
      <c r="T32" s="20">
        <v>0</v>
      </c>
      <c r="U32" s="891">
        <f t="shared" si="3"/>
        <v>10095.644233520443</v>
      </c>
      <c r="W32" s="886">
        <f t="shared" si="4"/>
        <v>2569800.3503506584</v>
      </c>
      <c r="X32" s="1481"/>
      <c r="Z32" s="1491">
        <f t="shared" si="5"/>
        <v>546082.57444951485</v>
      </c>
      <c r="AA32" s="1491">
        <f t="shared" si="6"/>
        <v>96367.513138149676</v>
      </c>
      <c r="AB32" s="1491">
        <f t="shared" si="7"/>
        <v>0</v>
      </c>
      <c r="AC32" s="1491">
        <f t="shared" si="8"/>
        <v>0</v>
      </c>
      <c r="AD32" s="1491">
        <f t="shared" si="9"/>
        <v>0</v>
      </c>
      <c r="AE32" s="1491">
        <f t="shared" si="10"/>
        <v>2569800.3503506584</v>
      </c>
      <c r="AG32" s="1491">
        <f t="shared" si="11"/>
        <v>8581.297598492376</v>
      </c>
      <c r="AH32" s="1491">
        <f t="shared" si="12"/>
        <v>1514.3466350280662</v>
      </c>
      <c r="AI32" s="1491">
        <f t="shared" si="13"/>
        <v>0</v>
      </c>
      <c r="AJ32" s="1491">
        <f t="shared" si="14"/>
        <v>0</v>
      </c>
      <c r="AK32" s="1491">
        <f t="shared" si="15"/>
        <v>0</v>
      </c>
      <c r="AL32" s="1491">
        <f t="shared" si="16"/>
        <v>0</v>
      </c>
    </row>
    <row r="33" spans="2:38" ht="14.15" customHeight="1" thickBot="1">
      <c r="B33" s="33"/>
      <c r="C33" s="2656" t="s">
        <v>30</v>
      </c>
      <c r="D33" s="2657"/>
      <c r="E33" s="71">
        <f>'3A1 Fermentación E.'!D31</f>
        <v>1682662.0402921853</v>
      </c>
      <c r="F33" s="20">
        <v>0.67</v>
      </c>
      <c r="G33" s="831">
        <f>'3B Manejo de Estiércol CH4'!F31</f>
        <v>59</v>
      </c>
      <c r="H33" s="72">
        <f t="shared" si="17"/>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20">
        <v>0.01</v>
      </c>
      <c r="P33" s="20">
        <v>0.01</v>
      </c>
      <c r="Q33" s="20">
        <v>0</v>
      </c>
      <c r="R33" s="20">
        <v>0</v>
      </c>
      <c r="S33" s="20">
        <v>0.02</v>
      </c>
      <c r="T33" s="20">
        <v>0</v>
      </c>
      <c r="U33" s="891">
        <f t="shared" si="3"/>
        <v>381514.65181113093</v>
      </c>
      <c r="W33" s="886">
        <f t="shared" si="4"/>
        <v>1213910.2557626893</v>
      </c>
      <c r="X33" s="1481"/>
      <c r="Z33" s="1491">
        <f t="shared" si="5"/>
        <v>3641730.7672880674</v>
      </c>
      <c r="AA33" s="1491">
        <f t="shared" si="6"/>
        <v>1213910.2557626893</v>
      </c>
      <c r="AB33" s="1491">
        <f t="shared" si="7"/>
        <v>1213910.2557626893</v>
      </c>
      <c r="AC33" s="1491">
        <f t="shared" si="8"/>
        <v>7283461.5345761348</v>
      </c>
      <c r="AD33" s="1491">
        <f t="shared" si="9"/>
        <v>9711282.0461015143</v>
      </c>
      <c r="AE33" s="1491">
        <f t="shared" si="10"/>
        <v>1213910.2557626893</v>
      </c>
      <c r="AG33" s="1491">
        <f t="shared" si="11"/>
        <v>57227.197771669635</v>
      </c>
      <c r="AH33" s="1491">
        <f t="shared" si="12"/>
        <v>19075.732590556545</v>
      </c>
      <c r="AI33" s="1491">
        <f t="shared" si="13"/>
        <v>0</v>
      </c>
      <c r="AJ33" s="1491">
        <f t="shared" si="14"/>
        <v>0</v>
      </c>
      <c r="AK33" s="1491">
        <f t="shared" si="15"/>
        <v>305211.72144890472</v>
      </c>
      <c r="AL33" s="1491">
        <f t="shared" si="16"/>
        <v>0</v>
      </c>
    </row>
    <row r="34" spans="2:38" ht="14.15" customHeight="1" thickBot="1">
      <c r="B34" s="33"/>
      <c r="C34" s="2656" t="s">
        <v>31</v>
      </c>
      <c r="D34" s="2657"/>
      <c r="E34" s="71">
        <f>'3A1 Fermentación E.'!D32</f>
        <v>30205479.452054795</v>
      </c>
      <c r="F34" s="20">
        <v>1.2</v>
      </c>
      <c r="G34" s="831">
        <f>'3B Manejo de Estiércol CH4'!F32</f>
        <v>0.9</v>
      </c>
      <c r="H34" s="72">
        <f t="shared" si="17"/>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20">
        <v>0.01</v>
      </c>
      <c r="P34" s="20">
        <v>0.01</v>
      </c>
      <c r="Q34" s="20">
        <v>0</v>
      </c>
      <c r="R34" s="20">
        <v>0</v>
      </c>
      <c r="S34" s="20">
        <v>0.02</v>
      </c>
      <c r="T34" s="20">
        <v>0</v>
      </c>
      <c r="U34" s="891">
        <f t="shared" si="3"/>
        <v>374220</v>
      </c>
      <c r="W34" s="886">
        <f t="shared" si="4"/>
        <v>0</v>
      </c>
      <c r="X34" s="1481"/>
      <c r="Z34" s="1491">
        <f t="shared" si="5"/>
        <v>0</v>
      </c>
      <c r="AA34" s="1491">
        <f t="shared" si="6"/>
        <v>0</v>
      </c>
      <c r="AB34" s="1491">
        <f t="shared" si="7"/>
        <v>0</v>
      </c>
      <c r="AC34" s="1491">
        <f t="shared" si="8"/>
        <v>0</v>
      </c>
      <c r="AD34" s="1491">
        <f t="shared" si="9"/>
        <v>11907000</v>
      </c>
      <c r="AE34" s="1491">
        <f t="shared" si="10"/>
        <v>0</v>
      </c>
      <c r="AG34" s="1491">
        <f t="shared" si="11"/>
        <v>0</v>
      </c>
      <c r="AH34" s="1491">
        <f t="shared" si="12"/>
        <v>0</v>
      </c>
      <c r="AI34" s="1491">
        <f t="shared" si="13"/>
        <v>0</v>
      </c>
      <c r="AJ34" s="1491">
        <f t="shared" si="14"/>
        <v>0</v>
      </c>
      <c r="AK34" s="1491">
        <f t="shared" si="15"/>
        <v>374220</v>
      </c>
      <c r="AL34" s="1491">
        <f t="shared" si="16"/>
        <v>0</v>
      </c>
    </row>
    <row r="35" spans="2:38" ht="14.15" customHeight="1" thickBot="1">
      <c r="B35" s="33"/>
      <c r="C35" s="2656" t="s">
        <v>34</v>
      </c>
      <c r="D35" s="2657"/>
      <c r="E35" s="71">
        <f>'3A1 Fermentación E.'!D33</f>
        <v>13510000</v>
      </c>
      <c r="F35" s="20">
        <v>2.0099999999999998</v>
      </c>
      <c r="G35" s="831">
        <f>'3B Manejo de Estiércol CH4'!F33</f>
        <v>1.4</v>
      </c>
      <c r="H35" s="72">
        <f t="shared" si="17"/>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20">
        <v>0.01</v>
      </c>
      <c r="P35" s="20">
        <v>0.01</v>
      </c>
      <c r="Q35" s="20">
        <v>0</v>
      </c>
      <c r="R35" s="20">
        <v>0</v>
      </c>
      <c r="S35" s="20">
        <v>0.02</v>
      </c>
      <c r="T35" s="20">
        <v>0</v>
      </c>
      <c r="U35" s="891">
        <f t="shared" si="3"/>
        <v>91583.290259999994</v>
      </c>
      <c r="W35" s="886">
        <f t="shared" si="4"/>
        <v>0</v>
      </c>
      <c r="X35" s="1481"/>
      <c r="Z35" s="1491">
        <f t="shared" si="5"/>
        <v>5828027.5619999999</v>
      </c>
      <c r="AA35" s="1491">
        <f t="shared" si="6"/>
        <v>0</v>
      </c>
      <c r="AB35" s="1491">
        <f t="shared" si="7"/>
        <v>0</v>
      </c>
      <c r="AC35" s="1491">
        <f t="shared" si="8"/>
        <v>8048228.5379999988</v>
      </c>
      <c r="AD35" s="1491">
        <f t="shared" si="9"/>
        <v>0</v>
      </c>
      <c r="AE35" s="1491">
        <f t="shared" si="10"/>
        <v>0</v>
      </c>
      <c r="AG35" s="1491">
        <f t="shared" si="11"/>
        <v>91583.290259999994</v>
      </c>
      <c r="AH35" s="1491">
        <f t="shared" si="12"/>
        <v>0</v>
      </c>
      <c r="AI35" s="1491">
        <f t="shared" si="13"/>
        <v>0</v>
      </c>
      <c r="AJ35" s="1491">
        <f t="shared" si="14"/>
        <v>0</v>
      </c>
      <c r="AK35" s="1491">
        <f t="shared" si="15"/>
        <v>0</v>
      </c>
      <c r="AL35" s="1491">
        <f t="shared" si="16"/>
        <v>0</v>
      </c>
    </row>
    <row r="36" spans="2:38" ht="14.5" customHeight="1" thickBot="1">
      <c r="B36" s="33"/>
      <c r="C36" s="2656" t="s">
        <v>32</v>
      </c>
      <c r="D36" s="2657"/>
      <c r="E36" s="71">
        <f>'3A1 Fermentación E.'!D34</f>
        <v>70291.655854557073</v>
      </c>
      <c r="F36" s="20">
        <v>0.83</v>
      </c>
      <c r="G36" s="831">
        <f>'3B Manejo de Estiércol CH4'!F34</f>
        <v>2.7</v>
      </c>
      <c r="H36" s="72">
        <f t="shared" si="17"/>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20">
        <v>0.01</v>
      </c>
      <c r="P36" s="20">
        <v>0.01</v>
      </c>
      <c r="Q36" s="20">
        <v>0</v>
      </c>
      <c r="R36" s="20">
        <v>0</v>
      </c>
      <c r="S36" s="20">
        <v>0.02</v>
      </c>
      <c r="T36" s="20">
        <v>0</v>
      </c>
      <c r="U36" s="891">
        <f t="shared" si="3"/>
        <v>1807.0207345480012</v>
      </c>
      <c r="W36" s="886">
        <f t="shared" si="4"/>
        <v>0</v>
      </c>
      <c r="X36" s="1481"/>
      <c r="Z36" s="1491">
        <f t="shared" si="5"/>
        <v>0</v>
      </c>
      <c r="AA36" s="1491">
        <f t="shared" si="6"/>
        <v>0</v>
      </c>
      <c r="AB36" s="1491">
        <f t="shared" si="7"/>
        <v>0</v>
      </c>
      <c r="AC36" s="1491">
        <f t="shared" si="8"/>
        <v>0</v>
      </c>
      <c r="AD36" s="1491">
        <f t="shared" si="9"/>
        <v>57496.114281072769</v>
      </c>
      <c r="AE36" s="1491">
        <f t="shared" si="10"/>
        <v>0</v>
      </c>
      <c r="AG36" s="1491">
        <f t="shared" si="11"/>
        <v>0</v>
      </c>
      <c r="AH36" s="1491">
        <f t="shared" si="12"/>
        <v>0</v>
      </c>
      <c r="AI36" s="1491">
        <f t="shared" si="13"/>
        <v>0</v>
      </c>
      <c r="AJ36" s="1491">
        <f t="shared" si="14"/>
        <v>0</v>
      </c>
      <c r="AK36" s="1491">
        <f t="shared" si="15"/>
        <v>1807.0207345480012</v>
      </c>
      <c r="AL36" s="1491">
        <f t="shared" si="16"/>
        <v>0</v>
      </c>
    </row>
    <row r="37" spans="2:38" ht="14" customHeight="1" thickBot="1">
      <c r="B37" s="33"/>
      <c r="C37" s="2656" t="s">
        <v>33</v>
      </c>
      <c r="D37" s="2657"/>
      <c r="E37" s="71">
        <f>'3A1 Fermentación E.'!D35</f>
        <v>198716.80964562827</v>
      </c>
      <c r="F37" s="20">
        <v>0.74</v>
      </c>
      <c r="G37" s="831">
        <f>'3B Manejo de Estiércol CH4'!F35</f>
        <v>6.8</v>
      </c>
      <c r="H37" s="72">
        <f t="shared" si="17"/>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20">
        <v>0.01</v>
      </c>
      <c r="P37" s="20">
        <v>0.01</v>
      </c>
      <c r="Q37" s="20">
        <v>0</v>
      </c>
      <c r="R37" s="20">
        <v>0</v>
      </c>
      <c r="S37" s="20">
        <v>0.02</v>
      </c>
      <c r="T37" s="20">
        <v>0</v>
      </c>
      <c r="U37" s="891">
        <f t="shared" si="3"/>
        <v>11470.774540969309</v>
      </c>
      <c r="W37" s="886">
        <f t="shared" si="4"/>
        <v>0</v>
      </c>
      <c r="X37" s="1481"/>
      <c r="Z37" s="1491">
        <f t="shared" si="5"/>
        <v>0</v>
      </c>
      <c r="AA37" s="1491">
        <f t="shared" si="6"/>
        <v>0</v>
      </c>
      <c r="AB37" s="1491">
        <f t="shared" si="7"/>
        <v>0</v>
      </c>
      <c r="AC37" s="1491">
        <f t="shared" si="8"/>
        <v>0</v>
      </c>
      <c r="AD37" s="1491">
        <f t="shared" si="9"/>
        <v>364979.18993993255</v>
      </c>
      <c r="AE37" s="1491">
        <f t="shared" si="10"/>
        <v>0</v>
      </c>
      <c r="AG37" s="1491">
        <f t="shared" si="11"/>
        <v>0</v>
      </c>
      <c r="AH37" s="1491">
        <f t="shared" si="12"/>
        <v>0</v>
      </c>
      <c r="AI37" s="1491">
        <f t="shared" si="13"/>
        <v>0</v>
      </c>
      <c r="AJ37" s="1491">
        <f t="shared" si="14"/>
        <v>0</v>
      </c>
      <c r="AK37" s="1491">
        <f t="shared" si="15"/>
        <v>11470.774540969309</v>
      </c>
      <c r="AL37" s="1491">
        <f t="shared" si="16"/>
        <v>0</v>
      </c>
    </row>
    <row r="38" spans="2:38" ht="14.5" customHeight="1" thickBot="1">
      <c r="B38" s="827" t="s">
        <v>46</v>
      </c>
      <c r="C38" s="850"/>
      <c r="D38" s="850"/>
      <c r="E38" s="854">
        <f>SUM(E15:E37)</f>
        <v>50677079.435412392</v>
      </c>
      <c r="F38" s="855"/>
      <c r="G38" s="855"/>
      <c r="H38" s="855"/>
      <c r="I38" s="855"/>
      <c r="J38" s="855"/>
      <c r="K38" s="855"/>
      <c r="L38" s="855"/>
      <c r="M38" s="855"/>
      <c r="N38" s="855"/>
      <c r="O38" s="30"/>
      <c r="P38" s="30"/>
      <c r="Q38" s="30"/>
      <c r="R38" s="30"/>
      <c r="S38" s="30"/>
      <c r="T38" s="30"/>
      <c r="U38" s="871">
        <f>SUM(U15:U37)</f>
        <v>1025784.1876612449</v>
      </c>
      <c r="W38" s="887">
        <f>SUM(W15:W37)</f>
        <v>141352675.43141305</v>
      </c>
      <c r="X38" s="1482"/>
      <c r="Z38" s="1515">
        <f>SUM(Z15:Z37)</f>
        <v>12353884.544251122</v>
      </c>
      <c r="AA38" s="1515">
        <f t="shared" ref="AA38:AE38" si="18">SUM(AA15:AA37)</f>
        <v>5910973.8923016731</v>
      </c>
      <c r="AB38" s="1515">
        <f t="shared" si="18"/>
        <v>7030118.5092034228</v>
      </c>
      <c r="AC38" s="1515">
        <f t="shared" si="18"/>
        <v>18874983.238192391</v>
      </c>
      <c r="AD38" s="1515">
        <f t="shared" si="18"/>
        <v>23506158.570945028</v>
      </c>
      <c r="AE38" s="1515">
        <f t="shared" si="18"/>
        <v>141352675.43141305</v>
      </c>
      <c r="AG38" s="1515">
        <f>SUM(AG15:AG37)</f>
        <v>194132.47140966047</v>
      </c>
      <c r="AH38" s="1515">
        <f t="shared" ref="AH38" si="19">SUM(AH15:AH37)</f>
        <v>92886.732593311986</v>
      </c>
      <c r="AI38" s="1515">
        <f t="shared" ref="AI38" si="20">SUM(AI15:AI37)</f>
        <v>0</v>
      </c>
      <c r="AJ38" s="1515">
        <f t="shared" ref="AJ38" si="21">SUM(AJ15:AJ37)</f>
        <v>0</v>
      </c>
      <c r="AK38" s="1515">
        <f t="shared" ref="AK38" si="22">SUM(AK15:AK37)</f>
        <v>738764.98365827231</v>
      </c>
      <c r="AL38" s="1515">
        <f t="shared" ref="AL38" si="23">SUM(AL15:AL37)</f>
        <v>0</v>
      </c>
    </row>
    <row r="39" spans="2:38" ht="14.15" customHeight="1" thickBot="1">
      <c r="B39" s="31"/>
      <c r="C39" s="2645" t="s">
        <v>1320</v>
      </c>
      <c r="D39" s="2645"/>
      <c r="E39" s="2645"/>
      <c r="F39" s="2645"/>
      <c r="G39" s="2645"/>
      <c r="H39" s="2645"/>
      <c r="I39" s="2645"/>
      <c r="J39" s="2645"/>
      <c r="K39" s="2645"/>
      <c r="L39" s="2645"/>
      <c r="M39" s="2645"/>
      <c r="N39" s="2645"/>
      <c r="O39" s="2645"/>
      <c r="P39" s="2645"/>
      <c r="Q39" s="2645"/>
      <c r="R39" s="2645"/>
      <c r="S39" s="2645"/>
      <c r="T39" s="2645"/>
      <c r="U39" s="2645"/>
    </row>
    <row r="40" spans="2:38" ht="14.5" customHeight="1">
      <c r="B40" s="31"/>
      <c r="C40" s="2646"/>
      <c r="D40" s="2646"/>
      <c r="E40" s="2646"/>
      <c r="F40" s="2646"/>
      <c r="G40" s="2646"/>
      <c r="H40" s="2646"/>
      <c r="I40" s="2646"/>
      <c r="J40" s="2646"/>
      <c r="K40" s="2646"/>
      <c r="L40" s="2646"/>
      <c r="M40" s="2646"/>
      <c r="N40" s="2646"/>
      <c r="O40" s="2646"/>
      <c r="P40" s="2646"/>
      <c r="Q40" s="2646"/>
      <c r="R40" s="2646"/>
      <c r="S40" s="2646"/>
      <c r="T40" s="2646"/>
      <c r="U40" s="2646"/>
      <c r="W40" s="892">
        <f>SUM(W15:W26)+W33+SUM(W34:W37)</f>
        <v>128607532.85425356</v>
      </c>
      <c r="X40" s="790" t="s">
        <v>159</v>
      </c>
      <c r="Z40" s="790"/>
      <c r="AA40" s="790"/>
      <c r="AB40" s="790"/>
      <c r="AC40" s="790"/>
      <c r="AD40" s="790"/>
      <c r="AE40" s="790"/>
      <c r="AG40" s="790"/>
      <c r="AH40" s="790"/>
      <c r="AI40" s="790"/>
      <c r="AJ40" s="790"/>
      <c r="AK40" s="790"/>
      <c r="AL40" s="790"/>
    </row>
    <row r="41" spans="2:38" ht="14.5" thickBot="1">
      <c r="B41" s="31"/>
      <c r="C41" s="31"/>
      <c r="D41" s="31"/>
      <c r="E41" s="31"/>
      <c r="F41" s="31"/>
      <c r="G41" s="31"/>
      <c r="H41" s="31"/>
      <c r="I41" s="31"/>
      <c r="J41" s="31"/>
      <c r="K41" s="31"/>
      <c r="L41" s="31"/>
      <c r="M41" s="31"/>
      <c r="N41" s="31"/>
      <c r="W41" s="893">
        <f>W38-W40</f>
        <v>12745142.577159494</v>
      </c>
      <c r="X41" s="790" t="s">
        <v>160</v>
      </c>
      <c r="Z41" s="31"/>
      <c r="AA41" s="31"/>
      <c r="AB41" s="31"/>
      <c r="AC41" s="31"/>
      <c r="AD41" s="31"/>
      <c r="AE41" s="31"/>
      <c r="AG41" s="31"/>
      <c r="AH41" s="31"/>
      <c r="AI41" s="31"/>
      <c r="AJ41" s="31"/>
      <c r="AK41" s="31"/>
      <c r="AL41" s="31"/>
    </row>
    <row r="42" spans="2:38" ht="35.5" customHeight="1">
      <c r="B42" s="31"/>
      <c r="C42" s="2632" t="s">
        <v>1305</v>
      </c>
      <c r="D42" s="2632"/>
      <c r="E42" s="2632"/>
      <c r="F42" s="2632"/>
      <c r="G42" s="2632"/>
      <c r="H42" s="2632"/>
      <c r="I42" s="2632"/>
      <c r="J42" s="31"/>
      <c r="K42" s="31"/>
      <c r="L42" s="31"/>
      <c r="M42" s="31"/>
      <c r="N42" s="31"/>
      <c r="AA42" s="31"/>
      <c r="AB42" s="31"/>
      <c r="AC42" s="31"/>
      <c r="AD42" s="31"/>
      <c r="AE42" s="31"/>
      <c r="AH42" s="31"/>
      <c r="AI42" s="31"/>
      <c r="AJ42" s="31"/>
      <c r="AK42" s="31"/>
      <c r="AL42" s="31"/>
    </row>
    <row r="43" spans="2:38" ht="24" customHeight="1">
      <c r="C43" s="847" t="s">
        <v>1300</v>
      </c>
      <c r="D43" s="847" t="s">
        <v>1284</v>
      </c>
      <c r="E43" s="847" t="s">
        <v>306</v>
      </c>
      <c r="F43" s="847" t="s">
        <v>1315</v>
      </c>
      <c r="G43" s="847" t="s">
        <v>124</v>
      </c>
      <c r="H43" s="848" t="s">
        <v>1298</v>
      </c>
      <c r="I43" s="847" t="s">
        <v>1302</v>
      </c>
      <c r="Z43" s="1533"/>
      <c r="AG43" s="1533"/>
    </row>
    <row r="44" spans="2:38">
      <c r="C44" s="2066" t="s">
        <v>21</v>
      </c>
      <c r="D44" s="846" t="s">
        <v>2392</v>
      </c>
      <c r="E44" s="846" t="s">
        <v>2234</v>
      </c>
      <c r="F44" s="846" t="s">
        <v>1316</v>
      </c>
      <c r="G44" s="846" t="s">
        <v>1285</v>
      </c>
      <c r="H44" s="846" t="s">
        <v>1299</v>
      </c>
      <c r="I44" s="846" t="s">
        <v>1319</v>
      </c>
      <c r="J44" s="857" t="s">
        <v>43</v>
      </c>
      <c r="Z44" s="296"/>
      <c r="AA44" s="296"/>
      <c r="AG44" s="296"/>
      <c r="AH44" s="296" t="s">
        <v>43</v>
      </c>
    </row>
    <row r="45" spans="2:38">
      <c r="C45" s="2066" t="s">
        <v>37</v>
      </c>
      <c r="D45" s="846" t="s">
        <v>1225</v>
      </c>
      <c r="E45" s="846" t="s">
        <v>2222</v>
      </c>
      <c r="F45" s="846" t="s">
        <v>1316</v>
      </c>
      <c r="G45" s="846" t="s">
        <v>1285</v>
      </c>
      <c r="H45" s="846" t="s">
        <v>1299</v>
      </c>
      <c r="I45" s="846" t="s">
        <v>1319</v>
      </c>
      <c r="J45" s="857" t="s">
        <v>43</v>
      </c>
      <c r="O45" s="368"/>
      <c r="P45" s="368"/>
      <c r="Q45" s="368"/>
      <c r="R45" s="368"/>
      <c r="S45" s="368"/>
      <c r="T45" s="368"/>
      <c r="U45" s="845"/>
      <c r="Z45" s="296"/>
      <c r="AA45" s="296"/>
      <c r="AG45" s="296"/>
      <c r="AH45" s="296" t="s">
        <v>43</v>
      </c>
    </row>
    <row r="46" spans="2:38" ht="13" customHeight="1">
      <c r="C46" s="2066" t="s">
        <v>38</v>
      </c>
      <c r="D46" s="846" t="s">
        <v>1225</v>
      </c>
      <c r="E46" s="846" t="s">
        <v>2223</v>
      </c>
      <c r="F46" s="846" t="s">
        <v>1316</v>
      </c>
      <c r="G46" s="846" t="s">
        <v>1285</v>
      </c>
      <c r="H46" s="846" t="s">
        <v>1299</v>
      </c>
      <c r="I46" s="846" t="s">
        <v>1319</v>
      </c>
      <c r="J46" s="857" t="s">
        <v>43</v>
      </c>
      <c r="O46" s="369"/>
      <c r="P46" s="369"/>
      <c r="Q46" s="369"/>
      <c r="R46" s="369"/>
      <c r="S46" s="369"/>
      <c r="T46" s="369"/>
      <c r="U46" s="369"/>
      <c r="Z46" s="296"/>
      <c r="AA46" s="296"/>
      <c r="AG46" s="296"/>
      <c r="AH46" s="296" t="s">
        <v>43</v>
      </c>
    </row>
    <row r="47" spans="2:38" ht="13" customHeight="1">
      <c r="C47" s="2066" t="s">
        <v>39</v>
      </c>
      <c r="D47" s="846" t="s">
        <v>1225</v>
      </c>
      <c r="E47" s="846" t="s">
        <v>2231</v>
      </c>
      <c r="F47" s="846" t="s">
        <v>1316</v>
      </c>
      <c r="G47" s="846" t="s">
        <v>1286</v>
      </c>
      <c r="H47" s="846" t="s">
        <v>1299</v>
      </c>
      <c r="I47" s="846" t="s">
        <v>1319</v>
      </c>
      <c r="J47" s="857" t="s">
        <v>43</v>
      </c>
      <c r="M47" t="s">
        <v>43</v>
      </c>
      <c r="N47" s="460"/>
      <c r="O47" s="297"/>
      <c r="P47" s="297"/>
      <c r="Q47" s="297"/>
      <c r="R47" s="297"/>
      <c r="S47" s="297"/>
      <c r="T47" s="297"/>
      <c r="U47" s="298"/>
      <c r="V47" s="454"/>
      <c r="W47" s="454"/>
      <c r="X47" s="454"/>
      <c r="Z47" s="296"/>
      <c r="AA47" s="296"/>
      <c r="AE47" s="460"/>
      <c r="AG47" s="296"/>
      <c r="AH47" s="296" t="s">
        <v>43</v>
      </c>
      <c r="AK47" t="s">
        <v>43</v>
      </c>
      <c r="AL47" s="460"/>
    </row>
    <row r="48" spans="2:38" ht="13" customHeight="1">
      <c r="C48" s="2065" t="s">
        <v>40</v>
      </c>
      <c r="D48" s="846" t="s">
        <v>2235</v>
      </c>
      <c r="E48" s="846"/>
      <c r="F48" s="846" t="s">
        <v>1316</v>
      </c>
      <c r="G48" s="846" t="s">
        <v>1287</v>
      </c>
      <c r="H48" s="846" t="s">
        <v>1301</v>
      </c>
      <c r="I48" s="846" t="s">
        <v>1319</v>
      </c>
      <c r="J48" s="857" t="s">
        <v>43</v>
      </c>
      <c r="M48" t="s">
        <v>43</v>
      </c>
      <c r="N48" s="460"/>
      <c r="O48" s="297"/>
      <c r="P48" s="297"/>
      <c r="Q48" s="297"/>
      <c r="R48" s="297"/>
      <c r="S48" s="297"/>
      <c r="T48" s="297"/>
      <c r="U48" s="298"/>
      <c r="Z48" s="296"/>
      <c r="AA48" s="296"/>
      <c r="AE48" s="460"/>
      <c r="AG48" s="296"/>
      <c r="AH48" s="296" t="s">
        <v>43</v>
      </c>
      <c r="AK48" t="s">
        <v>43</v>
      </c>
      <c r="AL48" s="460"/>
    </row>
    <row r="49" spans="3:38" ht="18" customHeight="1">
      <c r="C49" s="2065" t="s">
        <v>26</v>
      </c>
      <c r="D49" s="846" t="s">
        <v>1231</v>
      </c>
      <c r="E49" s="846" t="s">
        <v>2232</v>
      </c>
      <c r="F49" s="846" t="s">
        <v>1316</v>
      </c>
      <c r="G49" s="846" t="s">
        <v>1288</v>
      </c>
      <c r="H49" s="846" t="s">
        <v>1301</v>
      </c>
      <c r="I49" s="846" t="s">
        <v>1319</v>
      </c>
      <c r="J49" s="857" t="s">
        <v>43</v>
      </c>
      <c r="M49" t="s">
        <v>43</v>
      </c>
      <c r="N49" s="460"/>
      <c r="O49" s="297"/>
      <c r="P49" s="297"/>
      <c r="Q49" s="297"/>
      <c r="R49" s="297"/>
      <c r="S49" s="297"/>
      <c r="T49" s="297"/>
      <c r="U49" s="298"/>
      <c r="Z49" s="296"/>
      <c r="AA49" s="296"/>
      <c r="AE49" s="460"/>
      <c r="AG49" s="296"/>
      <c r="AH49" s="296" t="s">
        <v>43</v>
      </c>
      <c r="AK49" t="s">
        <v>43</v>
      </c>
      <c r="AL49" s="460"/>
    </row>
    <row r="50" spans="3:38">
      <c r="C50" s="2065" t="s">
        <v>27</v>
      </c>
      <c r="D50" s="846" t="s">
        <v>2393</v>
      </c>
      <c r="E50" s="846" t="s">
        <v>2232</v>
      </c>
      <c r="F50" s="846" t="s">
        <v>1316</v>
      </c>
      <c r="G50" s="846" t="s">
        <v>1289</v>
      </c>
      <c r="H50" s="846" t="s">
        <v>1301</v>
      </c>
      <c r="I50" s="846" t="s">
        <v>1319</v>
      </c>
      <c r="J50" s="857" t="s">
        <v>43</v>
      </c>
      <c r="M50" t="s">
        <v>43</v>
      </c>
      <c r="N50" s="460"/>
      <c r="O50" s="297"/>
      <c r="P50" s="297"/>
      <c r="Q50" s="297"/>
      <c r="R50" s="297"/>
      <c r="S50" s="297"/>
      <c r="T50" s="297"/>
      <c r="U50" s="298"/>
      <c r="Z50" s="296"/>
      <c r="AA50" s="296"/>
      <c r="AE50" s="460"/>
      <c r="AG50" s="296"/>
      <c r="AH50" s="296" t="s">
        <v>43</v>
      </c>
      <c r="AK50" t="s">
        <v>43</v>
      </c>
      <c r="AL50" s="460"/>
    </row>
    <row r="51" spans="3:38">
      <c r="C51" s="2065" t="s">
        <v>752</v>
      </c>
      <c r="D51" s="846" t="s">
        <v>966</v>
      </c>
      <c r="E51" s="846" t="s">
        <v>2225</v>
      </c>
      <c r="F51" s="846" t="s">
        <v>1316</v>
      </c>
      <c r="G51" s="846" t="s">
        <v>1290</v>
      </c>
      <c r="H51" s="846" t="s">
        <v>1301</v>
      </c>
      <c r="I51" s="846" t="s">
        <v>1319</v>
      </c>
      <c r="J51" s="857" t="s">
        <v>43</v>
      </c>
      <c r="M51" t="s">
        <v>43</v>
      </c>
      <c r="O51" s="297"/>
      <c r="P51" s="297"/>
      <c r="Q51" s="297"/>
      <c r="R51" s="297"/>
      <c r="S51" s="297"/>
      <c r="T51" s="297"/>
      <c r="U51" s="298"/>
      <c r="Z51" s="296"/>
      <c r="AA51" s="296"/>
      <c r="AG51" s="296"/>
      <c r="AH51" s="296" t="s">
        <v>43</v>
      </c>
      <c r="AK51" t="s">
        <v>43</v>
      </c>
    </row>
    <row r="52" spans="3:38">
      <c r="C52" s="2065" t="s">
        <v>28</v>
      </c>
      <c r="D52" s="846" t="s">
        <v>2393</v>
      </c>
      <c r="E52" s="846" t="s">
        <v>2232</v>
      </c>
      <c r="F52" s="846" t="s">
        <v>1316</v>
      </c>
      <c r="G52" s="846" t="s">
        <v>1291</v>
      </c>
      <c r="H52" s="846" t="s">
        <v>1301</v>
      </c>
      <c r="I52" s="846" t="s">
        <v>1319</v>
      </c>
      <c r="J52" s="857" t="s">
        <v>43</v>
      </c>
      <c r="M52" t="s">
        <v>43</v>
      </c>
      <c r="O52" s="297"/>
      <c r="P52" s="297"/>
      <c r="Q52" s="297"/>
      <c r="R52" s="297"/>
      <c r="Z52" s="296"/>
      <c r="AA52" s="296"/>
      <c r="AG52" s="296"/>
      <c r="AH52" s="296" t="s">
        <v>43</v>
      </c>
      <c r="AK52" t="s">
        <v>43</v>
      </c>
    </row>
    <row r="53" spans="3:38">
      <c r="C53" s="2065" t="s">
        <v>42</v>
      </c>
      <c r="D53" s="846" t="s">
        <v>2393</v>
      </c>
      <c r="E53" s="846" t="s">
        <v>2232</v>
      </c>
      <c r="F53" s="846" t="s">
        <v>1316</v>
      </c>
      <c r="G53" s="846" t="s">
        <v>1292</v>
      </c>
      <c r="H53" s="846" t="s">
        <v>1301</v>
      </c>
      <c r="I53" s="846" t="s">
        <v>1319</v>
      </c>
      <c r="J53" s="857" t="s">
        <v>43</v>
      </c>
      <c r="M53" t="s">
        <v>43</v>
      </c>
      <c r="O53" s="297"/>
      <c r="P53" s="297"/>
      <c r="Q53" s="297"/>
      <c r="R53" s="297"/>
      <c r="Z53" s="296"/>
      <c r="AA53" s="296"/>
      <c r="AG53" s="296"/>
      <c r="AH53" s="296" t="s">
        <v>43</v>
      </c>
      <c r="AK53" t="s">
        <v>43</v>
      </c>
    </row>
    <row r="54" spans="3:38">
      <c r="C54" s="2065" t="s">
        <v>30</v>
      </c>
      <c r="D54" s="846" t="s">
        <v>1236</v>
      </c>
      <c r="E54" s="846" t="s">
        <v>2233</v>
      </c>
      <c r="F54" s="846" t="s">
        <v>1316</v>
      </c>
      <c r="G54" s="846" t="s">
        <v>1293</v>
      </c>
      <c r="H54" s="846" t="s">
        <v>1301</v>
      </c>
      <c r="I54" s="846" t="s">
        <v>1319</v>
      </c>
      <c r="J54" s="857" t="s">
        <v>43</v>
      </c>
      <c r="M54" t="s">
        <v>43</v>
      </c>
      <c r="O54" s="297"/>
      <c r="P54" s="297"/>
      <c r="Q54" s="297"/>
      <c r="R54" s="297"/>
      <c r="Z54" s="296"/>
      <c r="AA54" s="296"/>
      <c r="AG54" s="296"/>
      <c r="AH54" s="296" t="s">
        <v>43</v>
      </c>
      <c r="AK54" t="s">
        <v>43</v>
      </c>
    </row>
    <row r="55" spans="3:38">
      <c r="C55" s="2065" t="s">
        <v>31</v>
      </c>
      <c r="D55" s="846" t="s">
        <v>1241</v>
      </c>
      <c r="E55" s="846" t="s">
        <v>2227</v>
      </c>
      <c r="F55" s="846" t="s">
        <v>1317</v>
      </c>
      <c r="G55" s="846" t="s">
        <v>1294</v>
      </c>
      <c r="H55" s="846" t="s">
        <v>1301</v>
      </c>
      <c r="I55" s="846" t="s">
        <v>1319</v>
      </c>
      <c r="J55" s="857" t="s">
        <v>43</v>
      </c>
      <c r="M55" t="s">
        <v>43</v>
      </c>
      <c r="O55" s="297"/>
      <c r="P55" s="297"/>
      <c r="Q55" s="297"/>
      <c r="R55" s="297"/>
      <c r="Z55" s="296"/>
      <c r="AA55" s="296"/>
      <c r="AG55" s="296"/>
      <c r="AH55" s="296" t="s">
        <v>43</v>
      </c>
      <c r="AK55" t="s">
        <v>43</v>
      </c>
    </row>
    <row r="56" spans="3:38">
      <c r="C56" s="2065" t="s">
        <v>34</v>
      </c>
      <c r="D56" s="846" t="s">
        <v>1241</v>
      </c>
      <c r="E56" s="846" t="s">
        <v>437</v>
      </c>
      <c r="F56" s="846" t="s">
        <v>1317</v>
      </c>
      <c r="G56" s="846" t="s">
        <v>1295</v>
      </c>
      <c r="H56" s="846" t="s">
        <v>1301</v>
      </c>
      <c r="I56" s="846" t="s">
        <v>1319</v>
      </c>
      <c r="J56" s="857" t="s">
        <v>43</v>
      </c>
      <c r="M56" t="s">
        <v>43</v>
      </c>
      <c r="O56" s="297"/>
      <c r="P56" s="297"/>
      <c r="Q56" s="297"/>
      <c r="R56" s="297"/>
      <c r="Z56" s="296"/>
      <c r="AA56" s="296"/>
      <c r="AG56" s="296"/>
      <c r="AH56" s="296" t="s">
        <v>43</v>
      </c>
      <c r="AK56" t="s">
        <v>43</v>
      </c>
    </row>
    <row r="57" spans="3:38">
      <c r="C57" s="2065" t="s">
        <v>32</v>
      </c>
      <c r="D57" s="846" t="s">
        <v>2394</v>
      </c>
      <c r="E57" s="846" t="s">
        <v>439</v>
      </c>
      <c r="F57" s="846" t="s">
        <v>1318</v>
      </c>
      <c r="G57" s="846" t="s">
        <v>1296</v>
      </c>
      <c r="H57" s="846" t="s">
        <v>1301</v>
      </c>
      <c r="I57" s="846" t="s">
        <v>1319</v>
      </c>
      <c r="J57" s="857" t="s">
        <v>43</v>
      </c>
      <c r="Z57" s="296"/>
      <c r="AA57" s="296"/>
      <c r="AG57" s="296"/>
      <c r="AH57" s="296" t="s">
        <v>43</v>
      </c>
    </row>
    <row r="58" spans="3:38">
      <c r="C58" s="2065" t="s">
        <v>33</v>
      </c>
      <c r="D58" s="846" t="s">
        <v>2394</v>
      </c>
      <c r="E58" s="846" t="s">
        <v>440</v>
      </c>
      <c r="F58" s="846" t="s">
        <v>1318</v>
      </c>
      <c r="G58" s="846" t="s">
        <v>1297</v>
      </c>
      <c r="H58" s="846" t="s">
        <v>1301</v>
      </c>
      <c r="I58" s="846" t="s">
        <v>1319</v>
      </c>
      <c r="J58" s="857" t="s">
        <v>43</v>
      </c>
      <c r="Z58" s="296"/>
      <c r="AA58" s="296"/>
      <c r="AG58" s="296"/>
      <c r="AH58" s="296" t="s">
        <v>43</v>
      </c>
    </row>
    <row r="59" spans="3:38">
      <c r="C59" s="296"/>
      <c r="D59" s="296"/>
      <c r="E59" s="297"/>
      <c r="F59" s="297"/>
      <c r="G59" s="620"/>
    </row>
    <row r="60" spans="3:38">
      <c r="C60" s="296"/>
      <c r="D60" s="296"/>
      <c r="E60" s="297"/>
      <c r="F60" s="297"/>
      <c r="G60" s="620"/>
    </row>
    <row r="61" spans="3:38">
      <c r="C61" s="296"/>
      <c r="D61" s="296"/>
      <c r="E61" s="297"/>
      <c r="F61" s="297"/>
      <c r="G61" s="620"/>
    </row>
    <row r="62" spans="3:38">
      <c r="C62" s="296"/>
      <c r="D62" s="296"/>
      <c r="E62" s="297"/>
      <c r="F62" s="297"/>
      <c r="G62" s="620"/>
    </row>
    <row r="63" spans="3:38">
      <c r="C63" s="296"/>
      <c r="D63" s="296"/>
      <c r="E63" s="297"/>
      <c r="F63" s="297"/>
      <c r="G63" s="620"/>
    </row>
    <row r="64" spans="3:38">
      <c r="C64" s="296"/>
      <c r="D64" s="296"/>
      <c r="E64" s="297"/>
      <c r="F64" s="297"/>
      <c r="G64" s="620"/>
    </row>
    <row r="65" spans="3:38">
      <c r="C65" s="296"/>
      <c r="D65" s="296"/>
      <c r="E65" s="297"/>
      <c r="F65" s="297"/>
      <c r="G65" s="620"/>
    </row>
    <row r="66" spans="3:38">
      <c r="C66" s="296"/>
      <c r="D66" s="296"/>
      <c r="E66" s="297"/>
      <c r="F66" s="297"/>
      <c r="G66" s="620"/>
    </row>
    <row r="67" spans="3:38">
      <c r="C67" s="296"/>
      <c r="D67" s="296"/>
      <c r="E67" s="297"/>
      <c r="F67" s="297"/>
      <c r="G67" s="620"/>
    </row>
    <row r="68" spans="3:38">
      <c r="C68" s="296"/>
      <c r="D68" s="296"/>
      <c r="E68" s="297"/>
      <c r="F68" s="297"/>
      <c r="G68" s="620"/>
    </row>
    <row r="69" spans="3:38">
      <c r="C69" s="296"/>
      <c r="D69" s="296"/>
      <c r="E69" s="297"/>
      <c r="F69" s="297"/>
      <c r="G69" s="297"/>
    </row>
    <row r="70" spans="3:38" ht="14.15" customHeight="1">
      <c r="C70" s="296"/>
      <c r="D70" s="296"/>
      <c r="E70" s="297"/>
    </row>
    <row r="71" spans="3:38">
      <c r="C71" s="296"/>
      <c r="D71" s="296"/>
      <c r="E71" s="297"/>
    </row>
    <row r="72" spans="3:38">
      <c r="C72" s="296"/>
      <c r="D72" s="296"/>
      <c r="E72" s="297"/>
    </row>
    <row r="73" spans="3:38" ht="14.15" customHeight="1">
      <c r="C73" s="296"/>
      <c r="D73" s="296"/>
      <c r="E73" s="297"/>
    </row>
    <row r="74" spans="3:38">
      <c r="C74" s="296"/>
      <c r="D74" s="296"/>
      <c r="E74" s="297"/>
    </row>
    <row r="75" spans="3:38">
      <c r="C75" s="296"/>
      <c r="D75" s="296"/>
      <c r="E75" s="297"/>
      <c r="J75" s="75"/>
      <c r="K75" s="75"/>
      <c r="L75" s="75"/>
      <c r="M75" s="75"/>
      <c r="N75" s="75"/>
      <c r="AA75" s="75"/>
      <c r="AB75" s="75"/>
      <c r="AC75" s="75"/>
      <c r="AD75" s="75"/>
      <c r="AE75" s="75"/>
      <c r="AH75" s="75"/>
      <c r="AI75" s="75"/>
      <c r="AJ75" s="75"/>
      <c r="AK75" s="75"/>
      <c r="AL75" s="75"/>
    </row>
    <row r="76" spans="3:38">
      <c r="C76" s="296"/>
      <c r="D76" s="296"/>
      <c r="E76" s="297"/>
      <c r="J76" s="75"/>
      <c r="K76" s="75"/>
      <c r="L76" s="75"/>
      <c r="M76" s="75"/>
      <c r="N76" s="75"/>
      <c r="AA76" s="75"/>
      <c r="AB76" s="75"/>
      <c r="AC76" s="75"/>
      <c r="AD76" s="75"/>
      <c r="AE76" s="75"/>
      <c r="AH76" s="75"/>
      <c r="AI76" s="75"/>
      <c r="AJ76" s="75"/>
      <c r="AK76" s="75"/>
      <c r="AL76" s="75"/>
    </row>
    <row r="77" spans="3:38">
      <c r="C77" s="296"/>
      <c r="D77" s="296"/>
      <c r="E77" s="297"/>
    </row>
    <row r="78" spans="3:38">
      <c r="C78" s="296"/>
      <c r="D78" s="296"/>
    </row>
    <row r="79" spans="3:38">
      <c r="C79" s="296"/>
      <c r="D79" s="296"/>
    </row>
    <row r="80" spans="3:38">
      <c r="C80" s="296"/>
      <c r="D80" s="296"/>
    </row>
    <row r="81" spans="3:4">
      <c r="C81" s="296"/>
      <c r="D81" s="296"/>
    </row>
    <row r="82" spans="3:4">
      <c r="C82" s="296"/>
      <c r="D82" s="296"/>
    </row>
    <row r="83" spans="3:4">
      <c r="C83" s="296"/>
      <c r="D83" s="296"/>
    </row>
    <row r="84" spans="3:4">
      <c r="C84" s="296"/>
      <c r="D84" s="296"/>
    </row>
  </sheetData>
  <mergeCells count="46">
    <mergeCell ref="C14:D14"/>
    <mergeCell ref="I14:N14"/>
    <mergeCell ref="C42:I42"/>
    <mergeCell ref="C36:D36"/>
    <mergeCell ref="Z9:AE9"/>
    <mergeCell ref="Z12:AE13"/>
    <mergeCell ref="Z14:AE14"/>
    <mergeCell ref="C37:D37"/>
    <mergeCell ref="C31:D31"/>
    <mergeCell ref="B6:E6"/>
    <mergeCell ref="F6:N6"/>
    <mergeCell ref="B7:E7"/>
    <mergeCell ref="F7:N7"/>
    <mergeCell ref="B9:B13"/>
    <mergeCell ref="E10:E11"/>
    <mergeCell ref="G10:G11"/>
    <mergeCell ref="G12:G13"/>
    <mergeCell ref="H12:H13"/>
    <mergeCell ref="C10:D13"/>
    <mergeCell ref="I8:U8"/>
    <mergeCell ref="I12:N13"/>
    <mergeCell ref="E12:E13"/>
    <mergeCell ref="F12:F13"/>
    <mergeCell ref="F8:H8"/>
    <mergeCell ref="I9:N9"/>
    <mergeCell ref="B2:N2"/>
    <mergeCell ref="B4:E4"/>
    <mergeCell ref="F4:N4"/>
    <mergeCell ref="B5:E5"/>
    <mergeCell ref="F5:N5"/>
    <mergeCell ref="AG9:AL9"/>
    <mergeCell ref="AG12:AL13"/>
    <mergeCell ref="AG14:AL14"/>
    <mergeCell ref="C39:U40"/>
    <mergeCell ref="O9:T9"/>
    <mergeCell ref="O12:T12"/>
    <mergeCell ref="O13:T13"/>
    <mergeCell ref="C32:D32"/>
    <mergeCell ref="C33:D33"/>
    <mergeCell ref="C34:D34"/>
    <mergeCell ref="C35:D35"/>
    <mergeCell ref="O14:T14"/>
    <mergeCell ref="C27:D27"/>
    <mergeCell ref="C28:D28"/>
    <mergeCell ref="C29:D29"/>
    <mergeCell ref="C30:D3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P84"/>
  <sheetViews>
    <sheetView showGridLines="0" topLeftCell="AD1" zoomScale="60" zoomScaleNormal="60" zoomScaleSheetLayoutView="50" workbookViewId="0">
      <selection activeCell="F24" sqref="F24"/>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26" width="11.33203125" customWidth="1"/>
    <col min="29" max="29" width="13.6640625" customWidth="1"/>
    <col min="30" max="31" width="14" customWidth="1"/>
    <col min="32" max="32" width="14.5" customWidth="1"/>
    <col min="37" max="42" width="11.33203125" hidden="1" customWidth="1"/>
    <col min="43" max="43" width="0" hidden="1" customWidth="1"/>
  </cols>
  <sheetData>
    <row r="2" spans="2:42" ht="26.15" customHeight="1">
      <c r="B2" s="2661" t="s">
        <v>1099</v>
      </c>
      <c r="C2" s="2661"/>
      <c r="D2" s="2661"/>
      <c r="E2" s="2661"/>
      <c r="F2" s="2661"/>
      <c r="G2" s="2661"/>
      <c r="H2" s="2661"/>
      <c r="I2" s="2661"/>
      <c r="J2" s="2661"/>
      <c r="K2" s="2661"/>
      <c r="L2" s="2661"/>
      <c r="M2" s="2661"/>
      <c r="N2" s="2661"/>
      <c r="O2" s="832"/>
      <c r="P2" s="832"/>
      <c r="Q2" s="832"/>
      <c r="R2" s="832"/>
      <c r="S2" s="832"/>
      <c r="T2" s="832"/>
      <c r="U2" s="832"/>
      <c r="V2" s="832"/>
      <c r="W2" s="832"/>
      <c r="X2" s="832"/>
      <c r="Y2" s="832"/>
      <c r="Z2" s="832"/>
      <c r="AK2" s="832"/>
      <c r="AL2" s="832"/>
      <c r="AM2" s="832"/>
      <c r="AN2" s="832"/>
      <c r="AO2" s="832"/>
      <c r="AP2" s="832"/>
    </row>
    <row r="3" spans="2:42" ht="14.5" thickBot="1"/>
    <row r="4" spans="2:42" ht="14.5" customHeight="1" thickBot="1">
      <c r="B4" s="2662" t="s">
        <v>82</v>
      </c>
      <c r="C4" s="2663"/>
      <c r="D4" s="2663"/>
      <c r="E4" s="2664"/>
      <c r="F4" s="2665" t="s">
        <v>315</v>
      </c>
      <c r="G4" s="2666"/>
      <c r="H4" s="2666"/>
      <c r="I4" s="2666"/>
      <c r="J4" s="2666"/>
      <c r="K4" s="2666"/>
      <c r="L4" s="2666"/>
      <c r="M4" s="2666"/>
      <c r="N4" s="2667"/>
      <c r="O4" s="861"/>
      <c r="P4" s="861"/>
      <c r="Q4" s="861"/>
      <c r="R4" s="861"/>
      <c r="S4" s="861"/>
      <c r="T4" s="861"/>
      <c r="U4" s="861"/>
      <c r="V4" s="861"/>
      <c r="W4" s="861"/>
      <c r="X4" s="861"/>
      <c r="Y4" s="861"/>
      <c r="Z4" s="861"/>
      <c r="AK4" s="861"/>
      <c r="AL4" s="861"/>
      <c r="AM4" s="861"/>
      <c r="AN4" s="861"/>
      <c r="AO4" s="861"/>
      <c r="AP4" s="861"/>
    </row>
    <row r="5" spans="2:42" ht="14.5" customHeight="1" thickBot="1">
      <c r="B5" s="2662" t="s">
        <v>443</v>
      </c>
      <c r="C5" s="2663"/>
      <c r="D5" s="2663"/>
      <c r="E5" s="2664"/>
      <c r="F5" s="2665" t="s">
        <v>1096</v>
      </c>
      <c r="G5" s="2666"/>
      <c r="H5" s="2666"/>
      <c r="I5" s="2666"/>
      <c r="J5" s="2666"/>
      <c r="K5" s="2666"/>
      <c r="L5" s="2666"/>
      <c r="M5" s="2666"/>
      <c r="N5" s="2667"/>
      <c r="O5" s="861"/>
      <c r="P5" s="861"/>
      <c r="Q5" s="861"/>
      <c r="R5" s="861"/>
      <c r="S5" s="861"/>
      <c r="T5" s="861"/>
      <c r="U5" s="861"/>
      <c r="V5" s="861"/>
      <c r="W5" s="861"/>
      <c r="X5" s="861"/>
      <c r="Y5" s="861"/>
      <c r="Z5" s="861"/>
      <c r="AK5" s="861"/>
      <c r="AL5" s="861"/>
      <c r="AM5" s="861"/>
      <c r="AN5" s="861"/>
      <c r="AO5" s="861"/>
      <c r="AP5" s="861"/>
    </row>
    <row r="6" spans="2:42" ht="14.5" customHeight="1" thickBot="1">
      <c r="B6" s="2662" t="s">
        <v>427</v>
      </c>
      <c r="C6" s="2663"/>
      <c r="D6" s="2663"/>
      <c r="E6" s="2664"/>
      <c r="F6" s="2665" t="s">
        <v>110</v>
      </c>
      <c r="G6" s="2666"/>
      <c r="H6" s="2666"/>
      <c r="I6" s="2666"/>
      <c r="J6" s="2666"/>
      <c r="K6" s="2666"/>
      <c r="L6" s="2666"/>
      <c r="M6" s="2666"/>
      <c r="N6" s="2667"/>
      <c r="O6" s="861"/>
      <c r="P6" s="861"/>
      <c r="Q6" s="861"/>
      <c r="R6" s="861"/>
      <c r="S6" s="861"/>
      <c r="T6" s="861"/>
      <c r="U6" s="861"/>
      <c r="V6" s="861"/>
      <c r="W6" s="861"/>
      <c r="X6" s="861"/>
      <c r="Y6" s="861"/>
      <c r="Z6" s="861"/>
      <c r="AK6" s="861"/>
      <c r="AL6" s="861"/>
      <c r="AM6" s="861"/>
      <c r="AN6" s="861"/>
      <c r="AO6" s="861"/>
      <c r="AP6" s="861"/>
    </row>
    <row r="7" spans="2:42" ht="14.5" thickBot="1">
      <c r="B7" s="2662" t="s">
        <v>428</v>
      </c>
      <c r="C7" s="2663"/>
      <c r="D7" s="2663"/>
      <c r="E7" s="2664"/>
      <c r="F7" s="2665" t="s">
        <v>105</v>
      </c>
      <c r="G7" s="2666"/>
      <c r="H7" s="2666"/>
      <c r="I7" s="2666"/>
      <c r="J7" s="2668"/>
      <c r="K7" s="2668"/>
      <c r="L7" s="2668"/>
      <c r="M7" s="2668"/>
      <c r="N7" s="2669"/>
      <c r="O7" s="861"/>
      <c r="P7" s="861"/>
      <c r="Q7" s="861"/>
      <c r="R7" s="861"/>
      <c r="S7" s="861"/>
      <c r="T7" s="861"/>
      <c r="U7" s="861"/>
      <c r="V7" s="861"/>
      <c r="W7" s="861"/>
      <c r="X7" s="861"/>
      <c r="Y7" s="861"/>
      <c r="Z7" s="861"/>
      <c r="AK7" s="861"/>
      <c r="AL7" s="861"/>
      <c r="AM7" s="861"/>
      <c r="AN7" s="861"/>
      <c r="AO7" s="861"/>
      <c r="AP7" s="861"/>
    </row>
    <row r="8" spans="2:42" ht="14.15" customHeight="1" thickBot="1">
      <c r="B8" s="852" t="s">
        <v>429</v>
      </c>
      <c r="C8" s="853"/>
      <c r="D8" s="853"/>
      <c r="E8" s="26" t="s">
        <v>111</v>
      </c>
      <c r="F8" s="2676" t="s">
        <v>450</v>
      </c>
      <c r="G8" s="2677"/>
      <c r="H8" s="2677"/>
      <c r="I8" s="858"/>
      <c r="J8" s="859"/>
      <c r="K8" s="859"/>
      <c r="L8" s="859"/>
      <c r="M8" s="859"/>
      <c r="N8" s="859"/>
      <c r="O8" s="859"/>
      <c r="P8" s="859"/>
      <c r="Q8" s="859"/>
      <c r="R8" s="859"/>
      <c r="S8" s="859"/>
      <c r="T8" s="859"/>
      <c r="U8" s="859"/>
      <c r="V8" s="859"/>
      <c r="W8" s="859"/>
      <c r="X8" s="859"/>
      <c r="Y8" s="859"/>
      <c r="Z8" s="859"/>
      <c r="AA8" s="859"/>
      <c r="AB8" s="859"/>
      <c r="AC8" s="867" t="s">
        <v>458</v>
      </c>
      <c r="AD8" s="867" t="s">
        <v>459</v>
      </c>
      <c r="AE8" s="918" t="s">
        <v>1446</v>
      </c>
      <c r="AF8" s="918" t="s">
        <v>1447</v>
      </c>
      <c r="AG8" s="860"/>
      <c r="AK8" s="1506"/>
      <c r="AL8" s="1506"/>
      <c r="AM8" s="1506"/>
      <c r="AN8" s="1506"/>
      <c r="AO8" s="1506"/>
      <c r="AP8" s="1506"/>
    </row>
    <row r="9" spans="2:42" ht="37" customHeight="1" thickBot="1">
      <c r="B9" s="2670" t="s">
        <v>1097</v>
      </c>
      <c r="C9" s="851"/>
      <c r="D9" s="851"/>
      <c r="E9" s="17" t="s">
        <v>444</v>
      </c>
      <c r="F9" s="17" t="s">
        <v>445</v>
      </c>
      <c r="G9" s="17" t="s">
        <v>446</v>
      </c>
      <c r="H9" s="17" t="s">
        <v>447</v>
      </c>
      <c r="I9" s="2614" t="s">
        <v>1281</v>
      </c>
      <c r="J9" s="2678"/>
      <c r="K9" s="2678"/>
      <c r="L9" s="2678"/>
      <c r="M9" s="2678"/>
      <c r="N9" s="2615"/>
      <c r="O9" s="2623" t="s">
        <v>1321</v>
      </c>
      <c r="P9" s="2624"/>
      <c r="Q9" s="2624"/>
      <c r="R9" s="2624"/>
      <c r="S9" s="2624"/>
      <c r="T9" s="2625"/>
      <c r="U9" s="2623" t="s">
        <v>1324</v>
      </c>
      <c r="V9" s="2624"/>
      <c r="W9" s="2624"/>
      <c r="X9" s="2624"/>
      <c r="Y9" s="2624"/>
      <c r="Z9" s="2625"/>
      <c r="AA9" s="2647" t="s">
        <v>1325</v>
      </c>
      <c r="AB9" s="2648"/>
      <c r="AC9" s="863"/>
      <c r="AD9" s="863"/>
      <c r="AE9" s="863" t="s">
        <v>1334</v>
      </c>
      <c r="AF9" s="863" t="s">
        <v>1334</v>
      </c>
      <c r="AG9" s="863" t="s">
        <v>1334</v>
      </c>
      <c r="AK9" s="2633" t="s">
        <v>1676</v>
      </c>
      <c r="AL9" s="2634"/>
      <c r="AM9" s="2634"/>
      <c r="AN9" s="2634"/>
      <c r="AO9" s="2634"/>
      <c r="AP9" s="2635"/>
    </row>
    <row r="10" spans="2:42" ht="14.15" customHeight="1">
      <c r="B10" s="2671"/>
      <c r="C10" s="2610" t="s">
        <v>423</v>
      </c>
      <c r="D10" s="2611"/>
      <c r="E10" s="2673" t="s">
        <v>867</v>
      </c>
      <c r="F10" s="27" t="s">
        <v>112</v>
      </c>
      <c r="G10" s="2673" t="s">
        <v>113</v>
      </c>
      <c r="H10" s="27" t="s">
        <v>114</v>
      </c>
      <c r="I10" s="74" t="s">
        <v>115</v>
      </c>
      <c r="J10" s="55"/>
      <c r="K10" s="55"/>
      <c r="L10" s="55"/>
      <c r="M10" s="55"/>
      <c r="N10" s="55"/>
      <c r="O10" s="27"/>
      <c r="P10" s="27"/>
      <c r="Q10" s="27"/>
      <c r="R10" s="27"/>
      <c r="S10" s="27"/>
      <c r="T10" s="27"/>
      <c r="U10" s="27"/>
      <c r="V10" s="27"/>
      <c r="W10" s="27"/>
      <c r="X10" s="27"/>
      <c r="Y10" s="27"/>
      <c r="Z10" s="27"/>
      <c r="AA10" s="27"/>
      <c r="AB10" s="862"/>
      <c r="AC10" s="833"/>
      <c r="AD10" s="833"/>
      <c r="AE10" s="194" t="s">
        <v>118</v>
      </c>
      <c r="AF10" s="194" t="s">
        <v>118</v>
      </c>
      <c r="AG10" s="194" t="s">
        <v>1444</v>
      </c>
      <c r="AK10" s="1507"/>
      <c r="AL10" s="1507"/>
      <c r="AM10" s="1507"/>
      <c r="AN10" s="1507"/>
      <c r="AO10" s="1507"/>
      <c r="AP10" s="1507"/>
    </row>
    <row r="11" spans="2:42" ht="55" customHeight="1" thickBot="1">
      <c r="B11" s="2671"/>
      <c r="C11" s="2612"/>
      <c r="D11" s="2613"/>
      <c r="E11" s="2672"/>
      <c r="F11" s="18" t="s">
        <v>868</v>
      </c>
      <c r="G11" s="2672"/>
      <c r="H11" s="18" t="s">
        <v>869</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
        <v>1274</v>
      </c>
      <c r="P11" s="18" t="s">
        <v>1275</v>
      </c>
      <c r="Q11" s="18" t="s">
        <v>1276</v>
      </c>
      <c r="R11" s="18" t="s">
        <v>1277</v>
      </c>
      <c r="S11" s="18" t="s">
        <v>1309</v>
      </c>
      <c r="T11" s="18" t="s">
        <v>1279</v>
      </c>
      <c r="U11" s="18" t="s">
        <v>1274</v>
      </c>
      <c r="V11" s="18" t="s">
        <v>1275</v>
      </c>
      <c r="W11" s="18" t="s">
        <v>1276</v>
      </c>
      <c r="X11" s="18" t="s">
        <v>1277</v>
      </c>
      <c r="Y11" s="18" t="s">
        <v>1309</v>
      </c>
      <c r="Z11" s="18" t="s">
        <v>1279</v>
      </c>
      <c r="AA11" s="18" t="s">
        <v>1328</v>
      </c>
      <c r="AB11" s="856" t="s">
        <v>1329</v>
      </c>
      <c r="AC11" s="43" t="s">
        <v>1332</v>
      </c>
      <c r="AD11" s="43" t="s">
        <v>1333</v>
      </c>
      <c r="AE11" s="868" t="s">
        <v>1330</v>
      </c>
      <c r="AF11" s="868" t="s">
        <v>1335</v>
      </c>
      <c r="AG11" s="868" t="s">
        <v>1445</v>
      </c>
      <c r="AK11" s="1508" t="s">
        <v>1274</v>
      </c>
      <c r="AL11" s="1508" t="s">
        <v>1275</v>
      </c>
      <c r="AM11" s="1508" t="s">
        <v>1276</v>
      </c>
      <c r="AN11" s="1508" t="s">
        <v>1277</v>
      </c>
      <c r="AO11" s="1508" t="s">
        <v>1309</v>
      </c>
      <c r="AP11" s="1508" t="s">
        <v>1279</v>
      </c>
    </row>
    <row r="12" spans="2:42" ht="20.149999999999999" customHeight="1">
      <c r="B12" s="2671"/>
      <c r="C12" s="2612"/>
      <c r="D12" s="2613"/>
      <c r="E12" s="2674"/>
      <c r="F12" s="2674" t="s">
        <v>452</v>
      </c>
      <c r="G12" s="2674" t="s">
        <v>453</v>
      </c>
      <c r="H12" s="2674" t="s">
        <v>119</v>
      </c>
      <c r="I12" s="2650" t="s">
        <v>1280</v>
      </c>
      <c r="J12" s="2651"/>
      <c r="K12" s="2651"/>
      <c r="L12" s="2651"/>
      <c r="M12" s="2651"/>
      <c r="N12" s="2652"/>
      <c r="O12" s="835"/>
      <c r="P12" s="835"/>
      <c r="Q12" s="835"/>
      <c r="R12" s="835"/>
      <c r="S12" s="835"/>
      <c r="T12" s="835"/>
      <c r="U12" s="834"/>
      <c r="V12" s="835"/>
      <c r="W12" s="835"/>
      <c r="X12" s="835"/>
      <c r="Y12" s="835"/>
      <c r="Z12" s="836"/>
      <c r="AA12" s="2650"/>
      <c r="AB12" s="2651"/>
      <c r="AC12" s="864"/>
      <c r="AD12" s="864"/>
      <c r="AE12" s="864" t="s">
        <v>120</v>
      </c>
      <c r="AF12" s="864" t="s">
        <v>120</v>
      </c>
      <c r="AG12" s="864" t="s">
        <v>120</v>
      </c>
      <c r="AK12" s="1486"/>
      <c r="AL12" s="1487"/>
      <c r="AM12" s="1487"/>
      <c r="AN12" s="1487"/>
      <c r="AO12" s="1487"/>
      <c r="AP12" s="1488"/>
    </row>
    <row r="13" spans="2:42" ht="27.65" customHeight="1" thickBot="1">
      <c r="B13" s="2672"/>
      <c r="C13" s="2614"/>
      <c r="D13" s="2615"/>
      <c r="E13" s="2675"/>
      <c r="F13" s="2675"/>
      <c r="G13" s="2675"/>
      <c r="H13" s="2675"/>
      <c r="I13" s="2653"/>
      <c r="J13" s="2654"/>
      <c r="K13" s="2654"/>
      <c r="L13" s="2654"/>
      <c r="M13" s="2654"/>
      <c r="N13" s="2655"/>
      <c r="O13" s="826"/>
      <c r="P13" s="2654" t="s">
        <v>454</v>
      </c>
      <c r="Q13" s="2654"/>
      <c r="R13" s="2654"/>
      <c r="S13" s="2654"/>
      <c r="T13" s="826"/>
      <c r="U13" s="837"/>
      <c r="V13" s="2654" t="s">
        <v>454</v>
      </c>
      <c r="W13" s="2654"/>
      <c r="X13" s="2654"/>
      <c r="Y13" s="2654"/>
      <c r="Z13" s="20"/>
      <c r="AA13" s="2653" t="s">
        <v>1002</v>
      </c>
      <c r="AB13" s="2654"/>
      <c r="AC13" s="865"/>
      <c r="AD13" s="865"/>
      <c r="AE13" s="865" t="s">
        <v>1336</v>
      </c>
      <c r="AF13" s="865" t="s">
        <v>1337</v>
      </c>
      <c r="AG13" s="865" t="s">
        <v>1448</v>
      </c>
      <c r="AK13" s="1489"/>
      <c r="AL13" s="2640" t="s">
        <v>454</v>
      </c>
      <c r="AM13" s="2640"/>
      <c r="AN13" s="2640"/>
      <c r="AO13" s="2640"/>
      <c r="AP13" s="1490"/>
    </row>
    <row r="14" spans="2:42" ht="27" customHeight="1" thickBot="1">
      <c r="B14" s="29" t="s">
        <v>122</v>
      </c>
      <c r="C14" s="2617" t="s">
        <v>123</v>
      </c>
      <c r="D14" s="2618"/>
      <c r="E14" s="19" t="s">
        <v>1311</v>
      </c>
      <c r="F14" s="19" t="s">
        <v>1312</v>
      </c>
      <c r="G14" s="19" t="s">
        <v>124</v>
      </c>
      <c r="H14" s="19" t="s">
        <v>1313</v>
      </c>
      <c r="I14" s="2617" t="s">
        <v>1310</v>
      </c>
      <c r="J14" s="2679"/>
      <c r="K14" s="2679"/>
      <c r="L14" s="2679"/>
      <c r="M14" s="2679"/>
      <c r="N14" s="2618"/>
      <c r="O14" s="2617" t="s">
        <v>1322</v>
      </c>
      <c r="P14" s="2679"/>
      <c r="Q14" s="2679"/>
      <c r="R14" s="2679"/>
      <c r="S14" s="2679"/>
      <c r="T14" s="2618"/>
      <c r="U14" s="2617" t="s">
        <v>1323</v>
      </c>
      <c r="V14" s="2679"/>
      <c r="W14" s="2679"/>
      <c r="X14" s="2679"/>
      <c r="Y14" s="2679"/>
      <c r="Z14" s="2618"/>
      <c r="AA14" s="838" t="s">
        <v>1326</v>
      </c>
      <c r="AB14" s="838" t="s">
        <v>1327</v>
      </c>
      <c r="AC14" s="866" t="s">
        <v>1331</v>
      </c>
      <c r="AD14" s="866" t="s">
        <v>1331</v>
      </c>
      <c r="AE14" s="866" t="s">
        <v>1338</v>
      </c>
      <c r="AF14" s="866" t="s">
        <v>1339</v>
      </c>
      <c r="AG14" s="866" t="s">
        <v>1339</v>
      </c>
      <c r="AK14" s="2642" t="s">
        <v>1323</v>
      </c>
      <c r="AL14" s="2643"/>
      <c r="AM14" s="2643"/>
      <c r="AN14" s="2643"/>
      <c r="AO14" s="2643"/>
      <c r="AP14" s="2644"/>
    </row>
    <row r="15" spans="2:42" ht="15.65" customHeight="1" thickTop="1" thickBot="1">
      <c r="B15" s="32"/>
      <c r="C15" s="789" t="s">
        <v>21</v>
      </c>
      <c r="D15" s="73" t="s">
        <v>1196</v>
      </c>
      <c r="E15" s="71">
        <f>'3A1 Fermentación E.'!D13</f>
        <v>522643.96630611242</v>
      </c>
      <c r="F15" s="20">
        <f>'3B Gestión Estiércol N2O Dir'!F15</f>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72">
        <v>0.3</v>
      </c>
      <c r="P15" s="72">
        <v>0.45</v>
      </c>
      <c r="Q15" s="72">
        <v>7.0000000000000007E-2</v>
      </c>
      <c r="R15" s="72">
        <v>0.48</v>
      </c>
      <c r="S15" s="72">
        <v>0.25</v>
      </c>
      <c r="T15" s="72">
        <v>0</v>
      </c>
      <c r="U15" s="72">
        <v>0.02</v>
      </c>
      <c r="V15" s="72">
        <v>0.04</v>
      </c>
      <c r="W15" s="72">
        <v>0</v>
      </c>
      <c r="X15" s="72">
        <v>0</v>
      </c>
      <c r="Y15" s="839">
        <v>3.5000000000000003E-2</v>
      </c>
      <c r="Z15" s="72">
        <v>0</v>
      </c>
      <c r="AA15" s="20">
        <v>5.0000000000000001E-3</v>
      </c>
      <c r="AB15" s="20">
        <v>1.0999999999999999E-2</v>
      </c>
      <c r="AC15" s="80">
        <f>(E15*H15*I15%*O15)+(E15*H15*J15%*P15)+(E15*H15*K15%*Q15)+(E15*H15*L15%*R15)+(E15*H15*M15%*S15)+(E15*H15*N15%*T15)</f>
        <v>1785621.394787441</v>
      </c>
      <c r="AD15" s="80">
        <f>(E15*H15*I15%*U15)+(E15*H15*J15%*V15)+(E15*H15*K15%*W15)+(E15*H15*L15%*X15)+(E15*H15*M15%*Y15)+(E15*H15*N15%*Z15)</f>
        <v>150229.58390794659</v>
      </c>
      <c r="AE15" s="25">
        <f>AC15*AA15*(44/28)</f>
        <v>14029.882387615608</v>
      </c>
      <c r="AF15" s="25">
        <f>AD15*AB15*(44/28)</f>
        <v>2596.8256646945051</v>
      </c>
      <c r="AG15" s="891">
        <f>AE15+AF15</f>
        <v>16626.708052310114</v>
      </c>
      <c r="AK15" s="1509">
        <v>0.02</v>
      </c>
      <c r="AL15" s="1509">
        <v>0.04</v>
      </c>
      <c r="AM15" s="1509">
        <v>0</v>
      </c>
      <c r="AN15" s="1509">
        <v>0</v>
      </c>
      <c r="AO15" s="1510">
        <v>3.5000000000000003E-2</v>
      </c>
      <c r="AP15" s="1509">
        <v>0</v>
      </c>
    </row>
    <row r="16" spans="2:42" ht="15.65" customHeight="1" thickBot="1">
      <c r="B16" s="33"/>
      <c r="C16" s="789"/>
      <c r="D16" s="73" t="s">
        <v>1197</v>
      </c>
      <c r="E16" s="71">
        <f>'3A1 Fermentación E.'!D14</f>
        <v>262262.60745905043</v>
      </c>
      <c r="F16" s="20">
        <f>'3B Gestión Estiércol N2O Dir'!F16</f>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72">
        <v>0.3</v>
      </c>
      <c r="P16" s="72">
        <v>0.45</v>
      </c>
      <c r="Q16" s="72">
        <v>7.0000000000000007E-2</v>
      </c>
      <c r="R16" s="72">
        <v>0.48</v>
      </c>
      <c r="S16" s="72">
        <v>0.25</v>
      </c>
      <c r="T16" s="72">
        <v>0</v>
      </c>
      <c r="U16" s="72">
        <v>0.02</v>
      </c>
      <c r="V16" s="72">
        <v>0.04</v>
      </c>
      <c r="W16" s="72">
        <v>0</v>
      </c>
      <c r="X16" s="72">
        <v>0</v>
      </c>
      <c r="Y16" s="839">
        <v>3.5000000000000003E-2</v>
      </c>
      <c r="Z16" s="72">
        <v>0</v>
      </c>
      <c r="AA16" s="20">
        <v>1.4E-2</v>
      </c>
      <c r="AB16" s="20">
        <v>1.0999999999999999E-2</v>
      </c>
      <c r="AC16" s="80">
        <f t="shared" ref="AC16:AC37" si="0">(E16*H16*I16%*O16)+(E16*H16*J16%*P16)+(E16*H16*K16%*Q16)+(E16*H16*L16%*R16)+(E16*H16*M16%*S16)+(E16*H16*N16%*T16)</f>
        <v>192492.14103849934</v>
      </c>
      <c r="AD16" s="80">
        <f t="shared" ref="AD16:AD37" si="1">(E16*H16*I16%*U16)+(E16*H16*J16%*V16)+(E16*H16*K16%*W16)+(E16*H16*L16%*X16)+(E16*H16*M16%*Y16)+(E16*H16*N16%*Z16)</f>
        <v>2971.1975906810812</v>
      </c>
      <c r="AE16" s="25">
        <f t="shared" ref="AE16:AE37" si="2">AC16*AA16*(44/28)</f>
        <v>4234.8271028469853</v>
      </c>
      <c r="AF16" s="25">
        <f t="shared" ref="AF16:AF37" si="3">AD16*AB16*(44/28)</f>
        <v>51.359272638915833</v>
      </c>
      <c r="AG16" s="891">
        <f t="shared" ref="AG16:AG37" si="4">AE16+AF16</f>
        <v>4286.1863754859014</v>
      </c>
      <c r="AK16" s="1509">
        <v>0.02</v>
      </c>
      <c r="AL16" s="1509">
        <v>0.04</v>
      </c>
      <c r="AM16" s="1509">
        <v>0</v>
      </c>
      <c r="AN16" s="1509">
        <v>0</v>
      </c>
      <c r="AO16" s="1510">
        <v>3.5000000000000003E-2</v>
      </c>
      <c r="AP16" s="1509">
        <v>0</v>
      </c>
    </row>
    <row r="17" spans="2:42" ht="15.65" customHeight="1" thickBot="1">
      <c r="B17" s="33"/>
      <c r="C17" s="789"/>
      <c r="D17" s="73" t="s">
        <v>1198</v>
      </c>
      <c r="E17" s="71">
        <f>'3A1 Fermentación E.'!D15</f>
        <v>47621.018911879481</v>
      </c>
      <c r="F17" s="20">
        <f>'3B Gestión Estiércol N2O Dir'!F17</f>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72">
        <v>0.3</v>
      </c>
      <c r="P17" s="72">
        <v>0.45</v>
      </c>
      <c r="Q17" s="72">
        <v>7.0000000000000007E-2</v>
      </c>
      <c r="R17" s="72">
        <v>0.48</v>
      </c>
      <c r="S17" s="72">
        <v>0.25</v>
      </c>
      <c r="T17" s="72">
        <v>0</v>
      </c>
      <c r="U17" s="72">
        <v>0.02</v>
      </c>
      <c r="V17" s="72">
        <v>0.04</v>
      </c>
      <c r="W17" s="72">
        <v>0</v>
      </c>
      <c r="X17" s="72">
        <v>0</v>
      </c>
      <c r="Y17" s="839">
        <v>3.5000000000000003E-2</v>
      </c>
      <c r="Z17" s="72">
        <v>0</v>
      </c>
      <c r="AA17" s="20">
        <v>1.4E-2</v>
      </c>
      <c r="AB17" s="20">
        <v>1.0999999999999999E-2</v>
      </c>
      <c r="AC17" s="80">
        <f t="shared" si="0"/>
        <v>1330.4156831640128</v>
      </c>
      <c r="AD17" s="80">
        <f t="shared" si="1"/>
        <v>99.781176237300969</v>
      </c>
      <c r="AE17" s="25">
        <f t="shared" si="2"/>
        <v>29.269145029608282</v>
      </c>
      <c r="AF17" s="25">
        <f t="shared" si="3"/>
        <v>1.724788903530488</v>
      </c>
      <c r="AG17" s="891">
        <f t="shared" si="4"/>
        <v>30.99393393313877</v>
      </c>
      <c r="AK17" s="1509">
        <v>0.02</v>
      </c>
      <c r="AL17" s="1509">
        <v>0.04</v>
      </c>
      <c r="AM17" s="1509">
        <v>0</v>
      </c>
      <c r="AN17" s="1509">
        <v>0</v>
      </c>
      <c r="AO17" s="1510">
        <v>3.5000000000000003E-2</v>
      </c>
      <c r="AP17" s="1509">
        <v>0</v>
      </c>
    </row>
    <row r="18" spans="2:42" ht="14.5" thickBot="1">
      <c r="B18" s="33"/>
      <c r="C18" s="789" t="s">
        <v>37</v>
      </c>
      <c r="D18" s="73" t="s">
        <v>1196</v>
      </c>
      <c r="E18" s="71">
        <f>'3A1 Fermentación E.'!D16</f>
        <v>153765.65032782167</v>
      </c>
      <c r="F18" s="20">
        <f>'3B Gestión Estiércol N2O Dir'!F18</f>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72">
        <v>0.45</v>
      </c>
      <c r="P18" s="72">
        <v>0.6</v>
      </c>
      <c r="Q18" s="72">
        <v>7.0000000000000007E-2</v>
      </c>
      <c r="R18" s="72">
        <v>0.48</v>
      </c>
      <c r="S18" s="72">
        <v>0.25</v>
      </c>
      <c r="T18" s="72">
        <v>0</v>
      </c>
      <c r="U18" s="72">
        <v>0.02</v>
      </c>
      <c r="V18" s="72">
        <v>0.04</v>
      </c>
      <c r="W18" s="72">
        <v>0</v>
      </c>
      <c r="X18" s="72">
        <v>0</v>
      </c>
      <c r="Y18" s="839">
        <v>3.5000000000000003E-2</v>
      </c>
      <c r="Z18" s="72">
        <v>0</v>
      </c>
      <c r="AA18" s="20">
        <v>5.0000000000000001E-3</v>
      </c>
      <c r="AB18" s="20">
        <v>1.0999999999999999E-2</v>
      </c>
      <c r="AC18" s="80">
        <f t="shared" si="0"/>
        <v>242058.96559734142</v>
      </c>
      <c r="AD18" s="80">
        <f t="shared" si="1"/>
        <v>16089.614361393507</v>
      </c>
      <c r="AE18" s="25">
        <f t="shared" si="2"/>
        <v>1901.8918725505398</v>
      </c>
      <c r="AF18" s="25">
        <f t="shared" si="3"/>
        <v>278.12047681837345</v>
      </c>
      <c r="AG18" s="891">
        <f t="shared" si="4"/>
        <v>2180.0123493689134</v>
      </c>
      <c r="AK18" s="1509">
        <v>0.02</v>
      </c>
      <c r="AL18" s="1509">
        <v>0.04</v>
      </c>
      <c r="AM18" s="1509">
        <v>0</v>
      </c>
      <c r="AN18" s="1509">
        <v>0</v>
      </c>
      <c r="AO18" s="1510">
        <v>3.5000000000000003E-2</v>
      </c>
      <c r="AP18" s="1509">
        <v>0</v>
      </c>
    </row>
    <row r="19" spans="2:42" ht="14.5" thickBot="1">
      <c r="B19" s="33"/>
      <c r="C19" s="789"/>
      <c r="D19" s="73" t="s">
        <v>1197</v>
      </c>
      <c r="E19" s="71">
        <f>'3A1 Fermentación E.'!D17</f>
        <v>73566.157569364281</v>
      </c>
      <c r="F19" s="20">
        <f>'3B Gestión Estiércol N2O Dir'!F19</f>
        <v>0.28999999999999998</v>
      </c>
      <c r="G19" s="831">
        <f>'3B Manejo de Estiércol CH4'!F17</f>
        <v>535.6165240382536</v>
      </c>
      <c r="H19" s="72">
        <f t="shared" ref="H19:H37" si="5">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72">
        <v>0.45</v>
      </c>
      <c r="P19" s="72">
        <v>0.6</v>
      </c>
      <c r="Q19" s="72">
        <v>7.0000000000000007E-2</v>
      </c>
      <c r="R19" s="72">
        <v>0.48</v>
      </c>
      <c r="S19" s="72">
        <v>0.25</v>
      </c>
      <c r="T19" s="72">
        <v>0</v>
      </c>
      <c r="U19" s="72">
        <v>0.02</v>
      </c>
      <c r="V19" s="72">
        <v>0.04</v>
      </c>
      <c r="W19" s="72">
        <v>0</v>
      </c>
      <c r="X19" s="72">
        <v>0</v>
      </c>
      <c r="Y19" s="839">
        <v>3.5000000000000003E-2</v>
      </c>
      <c r="Z19" s="72">
        <v>0</v>
      </c>
      <c r="AA19" s="20">
        <v>1.4E-2</v>
      </c>
      <c r="AB19" s="20">
        <v>1.0999999999999999E-2</v>
      </c>
      <c r="AC19" s="80">
        <f t="shared" si="0"/>
        <v>169395.44254878222</v>
      </c>
      <c r="AD19" s="80">
        <f t="shared" si="1"/>
        <v>59.58334243713761</v>
      </c>
      <c r="AE19" s="25">
        <f t="shared" si="2"/>
        <v>3726.6997360732089</v>
      </c>
      <c r="AF19" s="25">
        <f t="shared" si="3"/>
        <v>1.0299406335562358</v>
      </c>
      <c r="AG19" s="891">
        <f t="shared" si="4"/>
        <v>3727.7296767067651</v>
      </c>
      <c r="AK19" s="1509">
        <v>0.02</v>
      </c>
      <c r="AL19" s="1509">
        <v>0.04</v>
      </c>
      <c r="AM19" s="1509">
        <v>0</v>
      </c>
      <c r="AN19" s="1509">
        <v>0</v>
      </c>
      <c r="AO19" s="1510">
        <v>3.5000000000000003E-2</v>
      </c>
      <c r="AP19" s="1509">
        <v>0</v>
      </c>
    </row>
    <row r="20" spans="2:42" ht="14.5" thickBot="1">
      <c r="B20" s="33"/>
      <c r="C20" s="789"/>
      <c r="D20" s="73" t="s">
        <v>1198</v>
      </c>
      <c r="E20" s="71">
        <f>'3A1 Fermentación E.'!D18</f>
        <v>28493.155275733567</v>
      </c>
      <c r="F20" s="20">
        <f>'3B Gestión Estiércol N2O Dir'!F20</f>
        <v>0.28999999999999998</v>
      </c>
      <c r="G20" s="831">
        <f>'3B Manejo de Estiércol CH4'!F18</f>
        <v>460.03681752873558</v>
      </c>
      <c r="H20" s="72">
        <f t="shared" si="5"/>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72">
        <v>0.45</v>
      </c>
      <c r="P20" s="72">
        <v>0.6</v>
      </c>
      <c r="Q20" s="72">
        <v>7.0000000000000007E-2</v>
      </c>
      <c r="R20" s="72">
        <v>0.48</v>
      </c>
      <c r="S20" s="72">
        <v>0.25</v>
      </c>
      <c r="T20" s="72">
        <v>0</v>
      </c>
      <c r="U20" s="72">
        <v>0.02</v>
      </c>
      <c r="V20" s="72">
        <v>0.04</v>
      </c>
      <c r="W20" s="72">
        <v>0</v>
      </c>
      <c r="X20" s="72">
        <v>0</v>
      </c>
      <c r="Y20" s="839">
        <v>3.5000000000000003E-2</v>
      </c>
      <c r="Z20" s="72">
        <v>0</v>
      </c>
      <c r="AA20" s="20">
        <v>1.4E-2</v>
      </c>
      <c r="AB20" s="20">
        <v>1.0999999999999999E-2</v>
      </c>
      <c r="AC20" s="80">
        <f t="shared" si="0"/>
        <v>2111.369316631979</v>
      </c>
      <c r="AD20" s="80">
        <f t="shared" si="1"/>
        <v>0</v>
      </c>
      <c r="AE20" s="25">
        <f t="shared" si="2"/>
        <v>46.450124965903541</v>
      </c>
      <c r="AF20" s="25">
        <f t="shared" si="3"/>
        <v>0</v>
      </c>
      <c r="AG20" s="891">
        <f t="shared" si="4"/>
        <v>46.450124965903541</v>
      </c>
      <c r="AK20" s="1509">
        <v>0.02</v>
      </c>
      <c r="AL20" s="1509">
        <v>0.04</v>
      </c>
      <c r="AM20" s="1509">
        <v>0</v>
      </c>
      <c r="AN20" s="1509">
        <v>0</v>
      </c>
      <c r="AO20" s="1510">
        <v>3.5000000000000003E-2</v>
      </c>
      <c r="AP20" s="1509">
        <v>0</v>
      </c>
    </row>
    <row r="21" spans="2:42" ht="14.5" thickBot="1">
      <c r="B21" s="33"/>
      <c r="C21" s="789" t="s">
        <v>38</v>
      </c>
      <c r="D21" s="73" t="s">
        <v>1196</v>
      </c>
      <c r="E21" s="71">
        <f>'3A1 Fermentación E.'!D19</f>
        <v>250720.66956215684</v>
      </c>
      <c r="F21" s="20">
        <f>'3B Gestión Estiércol N2O Dir'!F21</f>
        <v>0.28999999999999998</v>
      </c>
      <c r="G21" s="831">
        <f>'3B Manejo de Estiércol CH4'!F19</f>
        <v>375.7195952415147</v>
      </c>
      <c r="H21" s="72">
        <f t="shared" si="5"/>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72">
        <v>0.45</v>
      </c>
      <c r="P21" s="72">
        <v>0.6</v>
      </c>
      <c r="Q21" s="72">
        <v>7.0000000000000007E-2</v>
      </c>
      <c r="R21" s="72">
        <v>0.48</v>
      </c>
      <c r="S21" s="72">
        <v>0.25</v>
      </c>
      <c r="T21" s="72">
        <v>0</v>
      </c>
      <c r="U21" s="72">
        <v>0.02</v>
      </c>
      <c r="V21" s="72">
        <v>0.04</v>
      </c>
      <c r="W21" s="72">
        <v>0</v>
      </c>
      <c r="X21" s="72">
        <v>0</v>
      </c>
      <c r="Y21" s="839">
        <v>3.5000000000000003E-2</v>
      </c>
      <c r="Z21" s="72">
        <v>0</v>
      </c>
      <c r="AA21" s="20">
        <v>5.0000000000000001E-3</v>
      </c>
      <c r="AB21" s="20">
        <v>1.0999999999999999E-2</v>
      </c>
      <c r="AC21" s="80">
        <f t="shared" si="0"/>
        <v>288908.26397818868</v>
      </c>
      <c r="AD21" s="80">
        <f t="shared" si="1"/>
        <v>19203.678499400252</v>
      </c>
      <c r="AE21" s="25">
        <f t="shared" si="2"/>
        <v>2269.9935026857684</v>
      </c>
      <c r="AF21" s="25">
        <f t="shared" si="3"/>
        <v>331.94929977534719</v>
      </c>
      <c r="AG21" s="891">
        <f t="shared" si="4"/>
        <v>2601.9428024611157</v>
      </c>
      <c r="AK21" s="1509">
        <v>0.02</v>
      </c>
      <c r="AL21" s="1509">
        <v>0.04</v>
      </c>
      <c r="AM21" s="1509">
        <v>0</v>
      </c>
      <c r="AN21" s="1509">
        <v>0</v>
      </c>
      <c r="AO21" s="1510">
        <v>3.5000000000000003E-2</v>
      </c>
      <c r="AP21" s="1509">
        <v>0</v>
      </c>
    </row>
    <row r="22" spans="2:42" ht="14.5" thickBot="1">
      <c r="B22" s="33"/>
      <c r="C22" s="789"/>
      <c r="D22" s="73" t="s">
        <v>1197</v>
      </c>
      <c r="E22" s="71">
        <f>'3A1 Fermentación E.'!D20</f>
        <v>401964.13996071398</v>
      </c>
      <c r="F22" s="20">
        <f>'3B Gestión Estiércol N2O Dir'!F22</f>
        <v>0.28999999999999998</v>
      </c>
      <c r="G22" s="831">
        <f>'3B Manejo de Estiércol CH4'!F20</f>
        <v>430.6086368415809</v>
      </c>
      <c r="H22" s="72">
        <f t="shared" si="5"/>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72">
        <v>0.45</v>
      </c>
      <c r="P22" s="72">
        <v>0.6</v>
      </c>
      <c r="Q22" s="72">
        <v>7.0000000000000007E-2</v>
      </c>
      <c r="R22" s="72">
        <v>0.48</v>
      </c>
      <c r="S22" s="72">
        <v>0.25</v>
      </c>
      <c r="T22" s="72">
        <v>0</v>
      </c>
      <c r="U22" s="72">
        <v>0.02</v>
      </c>
      <c r="V22" s="72">
        <v>0.04</v>
      </c>
      <c r="W22" s="72">
        <v>0</v>
      </c>
      <c r="X22" s="72">
        <v>0</v>
      </c>
      <c r="Y22" s="839">
        <v>3.5000000000000003E-2</v>
      </c>
      <c r="Z22" s="72">
        <v>0</v>
      </c>
      <c r="AA22" s="20">
        <v>1.4E-2</v>
      </c>
      <c r="AB22" s="20">
        <v>1.0999999999999999E-2</v>
      </c>
      <c r="AC22" s="80">
        <f t="shared" si="0"/>
        <v>744114.43404076376</v>
      </c>
      <c r="AD22" s="80">
        <f t="shared" si="1"/>
        <v>261.73564334884412</v>
      </c>
      <c r="AE22" s="25">
        <f t="shared" si="2"/>
        <v>16370.517548896802</v>
      </c>
      <c r="AF22" s="25">
        <f t="shared" si="3"/>
        <v>4.5242875493157335</v>
      </c>
      <c r="AG22" s="891">
        <f t="shared" si="4"/>
        <v>16375.041836446117</v>
      </c>
      <c r="AK22" s="1509">
        <v>0.02</v>
      </c>
      <c r="AL22" s="1509">
        <v>0.04</v>
      </c>
      <c r="AM22" s="1509">
        <v>0</v>
      </c>
      <c r="AN22" s="1509">
        <v>0</v>
      </c>
      <c r="AO22" s="1510">
        <v>3.5000000000000003E-2</v>
      </c>
      <c r="AP22" s="1509">
        <v>0</v>
      </c>
    </row>
    <row r="23" spans="2:42" ht="14.5" thickBot="1">
      <c r="B23" s="33"/>
      <c r="C23" s="789"/>
      <c r="D23" s="73" t="s">
        <v>1198</v>
      </c>
      <c r="E23" s="71">
        <f>'3A1 Fermentación E.'!D21</f>
        <v>74474.300818076343</v>
      </c>
      <c r="F23" s="20">
        <f>'3B Gestión Estiércol N2O Dir'!F23</f>
        <v>0.28999999999999998</v>
      </c>
      <c r="G23" s="831">
        <f>'3B Manejo de Estiércol CH4'!F21</f>
        <v>427.92285873825921</v>
      </c>
      <c r="H23" s="72">
        <f t="shared" si="5"/>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72">
        <v>0.45</v>
      </c>
      <c r="P23" s="72">
        <v>0.6</v>
      </c>
      <c r="Q23" s="72">
        <v>7.0000000000000007E-2</v>
      </c>
      <c r="R23" s="72">
        <v>0.48</v>
      </c>
      <c r="S23" s="72">
        <v>0.25</v>
      </c>
      <c r="T23" s="72">
        <v>0</v>
      </c>
      <c r="U23" s="72">
        <v>0.02</v>
      </c>
      <c r="V23" s="72">
        <v>0.04</v>
      </c>
      <c r="W23" s="72">
        <v>0</v>
      </c>
      <c r="X23" s="72">
        <v>0</v>
      </c>
      <c r="Y23" s="839">
        <v>3.5000000000000003E-2</v>
      </c>
      <c r="Z23" s="72">
        <v>0</v>
      </c>
      <c r="AA23" s="20">
        <v>1.4E-2</v>
      </c>
      <c r="AB23" s="20">
        <v>1.0999999999999999E-2</v>
      </c>
      <c r="AC23" s="80">
        <f t="shared" si="0"/>
        <v>5133.3750037587752</v>
      </c>
      <c r="AD23" s="80">
        <f t="shared" si="1"/>
        <v>0</v>
      </c>
      <c r="AE23" s="25">
        <f t="shared" si="2"/>
        <v>112.93425008269305</v>
      </c>
      <c r="AF23" s="25">
        <f t="shared" si="3"/>
        <v>0</v>
      </c>
      <c r="AG23" s="891">
        <f t="shared" si="4"/>
        <v>112.93425008269305</v>
      </c>
      <c r="AK23" s="1509">
        <v>0.02</v>
      </c>
      <c r="AL23" s="1509">
        <v>0.04</v>
      </c>
      <c r="AM23" s="1509">
        <v>0</v>
      </c>
      <c r="AN23" s="1509">
        <v>0</v>
      </c>
      <c r="AO23" s="1510">
        <v>3.5000000000000003E-2</v>
      </c>
      <c r="AP23" s="1509">
        <v>0</v>
      </c>
    </row>
    <row r="24" spans="2:42" ht="14.5" thickBot="1">
      <c r="B24" s="33"/>
      <c r="C24" s="789" t="s">
        <v>39</v>
      </c>
      <c r="D24" s="73" t="s">
        <v>1196</v>
      </c>
      <c r="E24" s="71">
        <f>'3A1 Fermentación E.'!D22</f>
        <v>1036600.4716451596</v>
      </c>
      <c r="F24" s="20">
        <f>'3B Gestión Estiércol N2O Dir'!F24</f>
        <v>0.28999999999999998</v>
      </c>
      <c r="G24" s="831">
        <f>'3B Manejo de Estiércol CH4'!F22</f>
        <v>165.49942954700774</v>
      </c>
      <c r="H24" s="72">
        <f t="shared" si="5"/>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72">
        <v>0.45</v>
      </c>
      <c r="P24" s="72">
        <v>0.6</v>
      </c>
      <c r="Q24" s="72">
        <v>7.0000000000000007E-2</v>
      </c>
      <c r="R24" s="72">
        <v>0.48</v>
      </c>
      <c r="S24" s="72">
        <v>0.25</v>
      </c>
      <c r="T24" s="72">
        <v>0</v>
      </c>
      <c r="U24" s="72">
        <v>0.02</v>
      </c>
      <c r="V24" s="72">
        <v>0.04</v>
      </c>
      <c r="W24" s="72">
        <v>0</v>
      </c>
      <c r="X24" s="72">
        <v>0</v>
      </c>
      <c r="Y24" s="839">
        <v>3.5000000000000003E-2</v>
      </c>
      <c r="Z24" s="72">
        <v>0</v>
      </c>
      <c r="AA24" s="20">
        <v>5.0000000000000001E-3</v>
      </c>
      <c r="AB24" s="20">
        <v>1.0999999999999999E-2</v>
      </c>
      <c r="AC24" s="80">
        <f t="shared" si="0"/>
        <v>526155.21973270085</v>
      </c>
      <c r="AD24" s="80">
        <f t="shared" si="1"/>
        <v>34973.439462745519</v>
      </c>
      <c r="AE24" s="25">
        <f t="shared" si="2"/>
        <v>4134.0767264712213</v>
      </c>
      <c r="AF24" s="25">
        <f t="shared" si="3"/>
        <v>604.54088214174385</v>
      </c>
      <c r="AG24" s="891">
        <f t="shared" si="4"/>
        <v>4738.6176086129653</v>
      </c>
      <c r="AK24" s="1509">
        <v>0.02</v>
      </c>
      <c r="AL24" s="1509">
        <v>0.04</v>
      </c>
      <c r="AM24" s="1509">
        <v>0</v>
      </c>
      <c r="AN24" s="1509">
        <v>0</v>
      </c>
      <c r="AO24" s="1510">
        <v>3.5000000000000003E-2</v>
      </c>
      <c r="AP24" s="1509">
        <v>0</v>
      </c>
    </row>
    <row r="25" spans="2:42" ht="14.5" thickBot="1">
      <c r="B25" s="33"/>
      <c r="C25" s="789"/>
      <c r="D25" s="73" t="s">
        <v>1197</v>
      </c>
      <c r="E25" s="71">
        <f>'3A1 Fermentación E.'!D23</f>
        <v>984149.28078222531</v>
      </c>
      <c r="F25" s="20">
        <f>'3B Gestión Estiércol N2O Dir'!F25</f>
        <v>0.28999999999999998</v>
      </c>
      <c r="G25" s="831">
        <f>'3B Manejo de Estiércol CH4'!F23</f>
        <v>174.42758948089647</v>
      </c>
      <c r="H25" s="72">
        <f t="shared" si="5"/>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72">
        <v>0.45</v>
      </c>
      <c r="P25" s="72">
        <v>0.6</v>
      </c>
      <c r="Q25" s="72">
        <v>7.0000000000000007E-2</v>
      </c>
      <c r="R25" s="72">
        <v>0.48</v>
      </c>
      <c r="S25" s="72">
        <v>0.25</v>
      </c>
      <c r="T25" s="72">
        <v>0</v>
      </c>
      <c r="U25" s="72">
        <v>0.02</v>
      </c>
      <c r="V25" s="72">
        <v>0.04</v>
      </c>
      <c r="W25" s="72">
        <v>0</v>
      </c>
      <c r="X25" s="72">
        <v>0</v>
      </c>
      <c r="Y25" s="839">
        <v>3.5000000000000003E-2</v>
      </c>
      <c r="Z25" s="72">
        <v>0</v>
      </c>
      <c r="AA25" s="20">
        <v>1.4E-2</v>
      </c>
      <c r="AB25" s="20">
        <v>1.0999999999999999E-2</v>
      </c>
      <c r="AC25" s="80">
        <f t="shared" si="0"/>
        <v>737982.1212834937</v>
      </c>
      <c r="AD25" s="80">
        <f t="shared" si="1"/>
        <v>259.57865680038469</v>
      </c>
      <c r="AE25" s="25">
        <f t="shared" si="2"/>
        <v>16235.60666823686</v>
      </c>
      <c r="AF25" s="25">
        <f t="shared" si="3"/>
        <v>4.4870024961209349</v>
      </c>
      <c r="AG25" s="891">
        <f t="shared" si="4"/>
        <v>16240.09367073298</v>
      </c>
      <c r="AK25" s="1509">
        <v>0.02</v>
      </c>
      <c r="AL25" s="1509">
        <v>0.04</v>
      </c>
      <c r="AM25" s="1509">
        <v>0</v>
      </c>
      <c r="AN25" s="1509">
        <v>0</v>
      </c>
      <c r="AO25" s="1510">
        <v>3.5000000000000003E-2</v>
      </c>
      <c r="AP25" s="1509">
        <v>0</v>
      </c>
    </row>
    <row r="26" spans="2:42" ht="14.5" thickBot="1">
      <c r="B26" s="33"/>
      <c r="C26" s="70"/>
      <c r="D26" s="73" t="s">
        <v>1198</v>
      </c>
      <c r="E26" s="71">
        <f>'3A1 Fermentación E.'!D24</f>
        <v>220534.27465427853</v>
      </c>
      <c r="F26" s="20">
        <f>'3B Gestión Estiércol N2O Dir'!F26</f>
        <v>0.28999999999999998</v>
      </c>
      <c r="G26" s="831">
        <f>'3B Manejo de Estiércol CH4'!F24</f>
        <v>174.58748571170864</v>
      </c>
      <c r="H26" s="72">
        <f t="shared" si="5"/>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72">
        <v>0.45</v>
      </c>
      <c r="P26" s="72">
        <v>0.6</v>
      </c>
      <c r="Q26" s="72">
        <v>7.0000000000000007E-2</v>
      </c>
      <c r="R26" s="72">
        <v>0.48</v>
      </c>
      <c r="S26" s="72">
        <v>0.3</v>
      </c>
      <c r="T26" s="72">
        <v>0</v>
      </c>
      <c r="U26" s="72">
        <v>0.02</v>
      </c>
      <c r="V26" s="72">
        <v>0.04</v>
      </c>
      <c r="W26" s="72">
        <v>0</v>
      </c>
      <c r="X26" s="72">
        <v>0</v>
      </c>
      <c r="Y26" s="839">
        <v>3.5000000000000003E-2</v>
      </c>
      <c r="Z26" s="72">
        <v>0</v>
      </c>
      <c r="AA26" s="20">
        <v>1.4E-2</v>
      </c>
      <c r="AB26" s="20">
        <v>1.0999999999999999E-2</v>
      </c>
      <c r="AC26" s="80">
        <f t="shared" si="0"/>
        <v>6201.8359884580095</v>
      </c>
      <c r="AD26" s="80">
        <f t="shared" si="1"/>
        <v>0</v>
      </c>
      <c r="AE26" s="25">
        <f t="shared" si="2"/>
        <v>136.44039174607622</v>
      </c>
      <c r="AF26" s="25">
        <f t="shared" si="3"/>
        <v>0</v>
      </c>
      <c r="AG26" s="891">
        <f t="shared" si="4"/>
        <v>136.44039174607622</v>
      </c>
      <c r="AK26" s="1509">
        <v>0.02</v>
      </c>
      <c r="AL26" s="1509">
        <v>0.04</v>
      </c>
      <c r="AM26" s="1509">
        <v>0</v>
      </c>
      <c r="AN26" s="1509">
        <v>0</v>
      </c>
      <c r="AO26" s="1510">
        <v>3.5000000000000003E-2</v>
      </c>
      <c r="AP26" s="1509">
        <v>0</v>
      </c>
    </row>
    <row r="27" spans="2:42" ht="14.5" thickBot="1">
      <c r="B27" s="33"/>
      <c r="C27" s="2656" t="s">
        <v>40</v>
      </c>
      <c r="D27" s="2657"/>
      <c r="E27" s="71">
        <f>'3A1 Fermentación E.'!D25</f>
        <v>3839</v>
      </c>
      <c r="F27" s="20">
        <f>'3B Gestión Estiércol N2O Dir'!F27</f>
        <v>0.41</v>
      </c>
      <c r="G27" s="831">
        <f>'3B Manejo de Estiércol CH4'!F25</f>
        <v>315</v>
      </c>
      <c r="H27" s="72">
        <f t="shared" si="5"/>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72">
        <v>0.12</v>
      </c>
      <c r="P27" s="72">
        <v>0.18</v>
      </c>
      <c r="Q27" s="72">
        <v>7.0000000000000007E-2</v>
      </c>
      <c r="R27" s="72">
        <v>0.15</v>
      </c>
      <c r="S27" s="72">
        <v>0.3</v>
      </c>
      <c r="T27" s="72">
        <v>0</v>
      </c>
      <c r="U27" s="72">
        <v>0.02</v>
      </c>
      <c r="V27" s="72">
        <v>0.04</v>
      </c>
      <c r="W27" s="72">
        <v>0</v>
      </c>
      <c r="X27" s="72">
        <v>0</v>
      </c>
      <c r="Y27" s="839">
        <v>3.5000000000000003E-2</v>
      </c>
      <c r="Z27" s="72">
        <v>0</v>
      </c>
      <c r="AA27" s="20">
        <v>0.01</v>
      </c>
      <c r="AB27" s="20">
        <v>1.0999999999999999E-2</v>
      </c>
      <c r="AC27" s="80">
        <f t="shared" si="0"/>
        <v>3148.8693043500002</v>
      </c>
      <c r="AD27" s="80">
        <f t="shared" si="1"/>
        <v>389.08442553750007</v>
      </c>
      <c r="AE27" s="25">
        <f t="shared" si="2"/>
        <v>49.482231925500002</v>
      </c>
      <c r="AF27" s="25">
        <f t="shared" si="3"/>
        <v>6.7256022128625004</v>
      </c>
      <c r="AG27" s="891">
        <f t="shared" si="4"/>
        <v>56.2078341383625</v>
      </c>
      <c r="AK27" s="1509">
        <v>0.02</v>
      </c>
      <c r="AL27" s="1509">
        <v>0.04</v>
      </c>
      <c r="AM27" s="1509">
        <v>0</v>
      </c>
      <c r="AN27" s="1509">
        <v>0</v>
      </c>
      <c r="AO27" s="1510">
        <v>3.5000000000000003E-2</v>
      </c>
      <c r="AP27" s="1509">
        <v>0</v>
      </c>
    </row>
    <row r="28" spans="2:42" ht="14.5" thickBot="1">
      <c r="B28" s="33"/>
      <c r="C28" s="2656" t="s">
        <v>26</v>
      </c>
      <c r="D28" s="2657"/>
      <c r="E28" s="71">
        <f>'3A1 Fermentación E.'!D26</f>
        <v>498952.01288858696</v>
      </c>
      <c r="F28" s="20">
        <f>'3B Gestión Estiércol N2O Dir'!F28</f>
        <v>0.32</v>
      </c>
      <c r="G28" s="831">
        <f>'3B Manejo de Estiércol CH4'!F26</f>
        <v>31</v>
      </c>
      <c r="H28" s="72">
        <f t="shared" si="5"/>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72">
        <v>0.12</v>
      </c>
      <c r="P28" s="72">
        <v>0.18</v>
      </c>
      <c r="Q28" s="72">
        <v>7.0000000000000007E-2</v>
      </c>
      <c r="R28" s="72">
        <v>0.15</v>
      </c>
      <c r="S28" s="72">
        <v>0.3</v>
      </c>
      <c r="T28" s="72">
        <v>0</v>
      </c>
      <c r="U28" s="72">
        <v>0.02</v>
      </c>
      <c r="V28" s="72">
        <v>0.04</v>
      </c>
      <c r="W28" s="72">
        <v>0</v>
      </c>
      <c r="X28" s="72">
        <v>0</v>
      </c>
      <c r="Y28" s="839">
        <v>3.5000000000000003E-2</v>
      </c>
      <c r="Z28" s="72">
        <v>0</v>
      </c>
      <c r="AA28" s="20">
        <v>0.01</v>
      </c>
      <c r="AB28" s="20">
        <v>1.0999999999999999E-2</v>
      </c>
      <c r="AC28" s="80">
        <f t="shared" si="0"/>
        <v>46610.420565288485</v>
      </c>
      <c r="AD28" s="80">
        <f t="shared" si="1"/>
        <v>8310.385062028181</v>
      </c>
      <c r="AE28" s="25">
        <f t="shared" si="2"/>
        <v>732.4494660259619</v>
      </c>
      <c r="AF28" s="25">
        <f t="shared" si="3"/>
        <v>143.6509417864871</v>
      </c>
      <c r="AG28" s="891">
        <f t="shared" si="4"/>
        <v>876.10040781244902</v>
      </c>
      <c r="AK28" s="1509">
        <v>0.02</v>
      </c>
      <c r="AL28" s="1509">
        <v>0.04</v>
      </c>
      <c r="AM28" s="1509">
        <v>0</v>
      </c>
      <c r="AN28" s="1509">
        <v>0</v>
      </c>
      <c r="AO28" s="1510">
        <v>3.5000000000000003E-2</v>
      </c>
      <c r="AP28" s="1509">
        <v>0</v>
      </c>
    </row>
    <row r="29" spans="2:42" ht="14.5" thickBot="1">
      <c r="B29" s="33"/>
      <c r="C29" s="2656" t="s">
        <v>27</v>
      </c>
      <c r="D29" s="2657"/>
      <c r="E29" s="71">
        <f>'3A1 Fermentación E.'!D27</f>
        <v>21745.306881266912</v>
      </c>
      <c r="F29" s="20">
        <f>'3B Gestión Estiércol N2O Dir'!F29</f>
        <v>0.34</v>
      </c>
      <c r="G29" s="831">
        <f>'3B Manejo de Estiércol CH4'!F27</f>
        <v>24</v>
      </c>
      <c r="H29" s="72">
        <f t="shared" si="5"/>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72">
        <v>0.12</v>
      </c>
      <c r="P29" s="72">
        <v>0.18</v>
      </c>
      <c r="Q29" s="72">
        <v>7.0000000000000007E-2</v>
      </c>
      <c r="R29" s="72">
        <v>0.15</v>
      </c>
      <c r="S29" s="72">
        <v>0.3</v>
      </c>
      <c r="T29" s="72">
        <v>0</v>
      </c>
      <c r="U29" s="72">
        <v>0.02</v>
      </c>
      <c r="V29" s="72">
        <v>0.04</v>
      </c>
      <c r="W29" s="72">
        <v>0</v>
      </c>
      <c r="X29" s="72">
        <v>0</v>
      </c>
      <c r="Y29" s="839">
        <v>3.5000000000000003E-2</v>
      </c>
      <c r="Z29" s="72">
        <v>0</v>
      </c>
      <c r="AA29" s="20">
        <v>0.01</v>
      </c>
      <c r="AB29" s="20">
        <v>1.0999999999999999E-2</v>
      </c>
      <c r="AC29" s="80">
        <f t="shared" si="0"/>
        <v>1670.9685279912667</v>
      </c>
      <c r="AD29" s="80">
        <f t="shared" si="1"/>
        <v>297.92462126976073</v>
      </c>
      <c r="AE29" s="25">
        <f t="shared" si="2"/>
        <v>26.258076868434188</v>
      </c>
      <c r="AF29" s="25">
        <f t="shared" si="3"/>
        <v>5.1498398819487212</v>
      </c>
      <c r="AG29" s="891">
        <f t="shared" si="4"/>
        <v>31.40791675038291</v>
      </c>
      <c r="AK29" s="1509">
        <v>0.02</v>
      </c>
      <c r="AL29" s="1509">
        <v>0.04</v>
      </c>
      <c r="AM29" s="1509">
        <v>0</v>
      </c>
      <c r="AN29" s="1509">
        <v>0</v>
      </c>
      <c r="AO29" s="1510">
        <v>3.5000000000000003E-2</v>
      </c>
      <c r="AP29" s="1509">
        <v>0</v>
      </c>
    </row>
    <row r="30" spans="2:42" ht="14.5" thickBot="1">
      <c r="B30" s="33"/>
      <c r="C30" s="2656" t="s">
        <v>752</v>
      </c>
      <c r="D30" s="2657"/>
      <c r="E30" s="71">
        <f>'3A1 Fermentación E.'!D28</f>
        <v>20949.78325706191</v>
      </c>
      <c r="F30" s="20">
        <f>'3B Gestión Estiércol N2O Dir'!F30</f>
        <v>0.46</v>
      </c>
      <c r="G30" s="831">
        <f>'3B Manejo de Estiércol CH4'!F28</f>
        <v>65</v>
      </c>
      <c r="H30" s="72">
        <f t="shared" si="5"/>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72">
        <v>0.12</v>
      </c>
      <c r="P30" s="72">
        <v>0.18</v>
      </c>
      <c r="Q30" s="72">
        <v>7.0000000000000007E-2</v>
      </c>
      <c r="R30" s="72">
        <v>0.15</v>
      </c>
      <c r="S30" s="72">
        <v>0.3</v>
      </c>
      <c r="T30" s="72">
        <v>0</v>
      </c>
      <c r="U30" s="72">
        <v>0.02</v>
      </c>
      <c r="V30" s="72">
        <v>0.04</v>
      </c>
      <c r="W30" s="72">
        <v>0</v>
      </c>
      <c r="X30" s="72">
        <v>0</v>
      </c>
      <c r="Y30" s="839">
        <v>3.5000000000000003E-2</v>
      </c>
      <c r="Z30" s="72">
        <v>0</v>
      </c>
      <c r="AA30" s="20">
        <v>0.01</v>
      </c>
      <c r="AB30" s="20">
        <v>1.0999999999999999E-2</v>
      </c>
      <c r="AC30" s="80">
        <f t="shared" si="0"/>
        <v>5898.7948570593853</v>
      </c>
      <c r="AD30" s="80">
        <f t="shared" si="1"/>
        <v>1051.7231140493477</v>
      </c>
      <c r="AE30" s="25">
        <f t="shared" si="2"/>
        <v>92.695347753790344</v>
      </c>
      <c r="AF30" s="25">
        <f t="shared" si="3"/>
        <v>18.179785257138722</v>
      </c>
      <c r="AG30" s="891">
        <f t="shared" si="4"/>
        <v>110.87513301092906</v>
      </c>
      <c r="AK30" s="1509">
        <v>0.02</v>
      </c>
      <c r="AL30" s="1509">
        <v>0.04</v>
      </c>
      <c r="AM30" s="1509">
        <v>0</v>
      </c>
      <c r="AN30" s="1509">
        <v>0</v>
      </c>
      <c r="AO30" s="1510">
        <v>3.5000000000000003E-2</v>
      </c>
      <c r="AP30" s="1509">
        <v>0</v>
      </c>
    </row>
    <row r="31" spans="2:42" ht="15.65" customHeight="1" thickBot="1">
      <c r="B31" s="33"/>
      <c r="C31" s="2656" t="s">
        <v>28</v>
      </c>
      <c r="D31" s="2657"/>
      <c r="E31" s="71">
        <f>'3A1 Fermentación E.'!D29</f>
        <v>260479.01686208553</v>
      </c>
      <c r="F31" s="20">
        <f>'3B Gestión Estiércol N2O Dir'!F31</f>
        <v>0.46</v>
      </c>
      <c r="G31" s="831">
        <f>'3B Manejo de Estiércol CH4'!F29</f>
        <v>238</v>
      </c>
      <c r="H31" s="72">
        <f t="shared" si="5"/>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72">
        <v>0.12</v>
      </c>
      <c r="P31" s="72">
        <v>0.18</v>
      </c>
      <c r="Q31" s="72">
        <v>7.0000000000000007E-2</v>
      </c>
      <c r="R31" s="72">
        <v>0.15</v>
      </c>
      <c r="S31" s="72">
        <v>0.3</v>
      </c>
      <c r="T31" s="72">
        <v>0</v>
      </c>
      <c r="U31" s="72">
        <v>0.02</v>
      </c>
      <c r="V31" s="72">
        <v>0.04</v>
      </c>
      <c r="W31" s="72">
        <v>0</v>
      </c>
      <c r="X31" s="72">
        <v>0</v>
      </c>
      <c r="Y31" s="839">
        <v>3.5000000000000003E-2</v>
      </c>
      <c r="Z31" s="72">
        <v>0</v>
      </c>
      <c r="AA31" s="20">
        <v>0.01</v>
      </c>
      <c r="AB31" s="20">
        <v>1.0999999999999999E-2</v>
      </c>
      <c r="AC31" s="80">
        <f t="shared" si="0"/>
        <v>268546.8751279976</v>
      </c>
      <c r="AD31" s="80">
        <f t="shared" si="1"/>
        <v>47880.450604216632</v>
      </c>
      <c r="AE31" s="25">
        <f t="shared" si="2"/>
        <v>4220.0223234399618</v>
      </c>
      <c r="AF31" s="25">
        <f t="shared" si="3"/>
        <v>827.64778901574459</v>
      </c>
      <c r="AG31" s="891">
        <f t="shared" si="4"/>
        <v>5047.6701124557067</v>
      </c>
      <c r="AK31" s="1509">
        <v>0.02</v>
      </c>
      <c r="AL31" s="1509">
        <v>0.04</v>
      </c>
      <c r="AM31" s="1509">
        <v>0</v>
      </c>
      <c r="AN31" s="1509">
        <v>0</v>
      </c>
      <c r="AO31" s="1510">
        <v>3.5000000000000003E-2</v>
      </c>
      <c r="AP31" s="1509">
        <v>0</v>
      </c>
    </row>
    <row r="32" spans="2:42" ht="14.5" thickBot="1">
      <c r="B32" s="33"/>
      <c r="C32" s="2656" t="s">
        <v>42</v>
      </c>
      <c r="D32" s="2657"/>
      <c r="E32" s="71">
        <f>'3A1 Fermentación E.'!D30</f>
        <v>147168.66440364331</v>
      </c>
      <c r="F32" s="20">
        <f>'3B Gestión Estiércol N2O Dir'!F32</f>
        <v>0.46</v>
      </c>
      <c r="G32" s="831">
        <f>'3B Manejo de Estiércol CH4'!F30</f>
        <v>130</v>
      </c>
      <c r="H32" s="72">
        <f t="shared" si="5"/>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72">
        <v>0.12</v>
      </c>
      <c r="P32" s="72">
        <v>0.18</v>
      </c>
      <c r="Q32" s="72">
        <v>7.0000000000000007E-2</v>
      </c>
      <c r="R32" s="72">
        <v>0.15</v>
      </c>
      <c r="S32" s="72">
        <v>0.3</v>
      </c>
      <c r="T32" s="72">
        <v>0</v>
      </c>
      <c r="U32" s="72">
        <v>0.02</v>
      </c>
      <c r="V32" s="72">
        <v>0.04</v>
      </c>
      <c r="W32" s="72">
        <v>0</v>
      </c>
      <c r="X32" s="72">
        <v>0</v>
      </c>
      <c r="Y32" s="839">
        <v>3.5000000000000003E-2</v>
      </c>
      <c r="Z32" s="72">
        <v>0</v>
      </c>
      <c r="AA32" s="20">
        <v>0.01</v>
      </c>
      <c r="AB32" s="20">
        <v>1.0999999999999999E-2</v>
      </c>
      <c r="AC32" s="80">
        <f t="shared" si="0"/>
        <v>82876.061298808723</v>
      </c>
      <c r="AD32" s="80">
        <f t="shared" si="1"/>
        <v>14776.352014516284</v>
      </c>
      <c r="AE32" s="25">
        <f t="shared" si="2"/>
        <v>1302.3381061241371</v>
      </c>
      <c r="AF32" s="25">
        <f t="shared" si="3"/>
        <v>255.41979910806717</v>
      </c>
      <c r="AG32" s="891">
        <f t="shared" si="4"/>
        <v>1557.7579052322042</v>
      </c>
      <c r="AK32" s="1509">
        <v>0.02</v>
      </c>
      <c r="AL32" s="1509">
        <v>0.04</v>
      </c>
      <c r="AM32" s="1509">
        <v>0</v>
      </c>
      <c r="AN32" s="1509">
        <v>0</v>
      </c>
      <c r="AO32" s="1510">
        <v>3.5000000000000003E-2</v>
      </c>
      <c r="AP32" s="1509">
        <v>0</v>
      </c>
    </row>
    <row r="33" spans="2:42" ht="14.15" customHeight="1" thickBot="1">
      <c r="B33" s="33"/>
      <c r="C33" s="2656" t="s">
        <v>30</v>
      </c>
      <c r="D33" s="2657"/>
      <c r="E33" s="71">
        <f>'3A1 Fermentación E.'!D31</f>
        <v>1682662.0402921853</v>
      </c>
      <c r="F33" s="20">
        <f>'3B Gestión Estiércol N2O Dir'!F33</f>
        <v>0.67</v>
      </c>
      <c r="G33" s="831">
        <f>'3B Manejo de Estiércol CH4'!F31</f>
        <v>59</v>
      </c>
      <c r="H33" s="72">
        <f t="shared" si="5"/>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72">
        <v>0.45</v>
      </c>
      <c r="P33" s="72">
        <v>0.6</v>
      </c>
      <c r="Q33" s="72">
        <v>7.0000000000000007E-2</v>
      </c>
      <c r="R33" s="72">
        <v>0.2</v>
      </c>
      <c r="S33" s="72">
        <v>0.45</v>
      </c>
      <c r="T33" s="72">
        <v>0</v>
      </c>
      <c r="U33" s="72">
        <v>0.02</v>
      </c>
      <c r="V33" s="72">
        <v>0.04</v>
      </c>
      <c r="W33" s="72">
        <v>0</v>
      </c>
      <c r="X33" s="72">
        <v>0</v>
      </c>
      <c r="Y33" s="839">
        <v>3.5000000000000003E-2</v>
      </c>
      <c r="Z33" s="72">
        <v>0</v>
      </c>
      <c r="AA33" s="20">
        <v>0.01</v>
      </c>
      <c r="AB33" s="20">
        <v>1.0999999999999999E-2</v>
      </c>
      <c r="AC33" s="80">
        <f t="shared" si="0"/>
        <v>8278867.944301541</v>
      </c>
      <c r="AD33" s="80">
        <f t="shared" si="1"/>
        <v>461285.89718982193</v>
      </c>
      <c r="AE33" s="25">
        <f t="shared" si="2"/>
        <v>130096.49626759565</v>
      </c>
      <c r="AF33" s="25">
        <f t="shared" si="3"/>
        <v>7973.6562228526354</v>
      </c>
      <c r="AG33" s="891">
        <f t="shared" si="4"/>
        <v>138070.15249044829</v>
      </c>
      <c r="AK33" s="1509">
        <v>0.02</v>
      </c>
      <c r="AL33" s="1509">
        <v>0.04</v>
      </c>
      <c r="AM33" s="1509">
        <v>0</v>
      </c>
      <c r="AN33" s="1509">
        <v>0</v>
      </c>
      <c r="AO33" s="1510">
        <v>3.5000000000000003E-2</v>
      </c>
      <c r="AP33" s="1509">
        <v>0</v>
      </c>
    </row>
    <row r="34" spans="2:42" ht="14.15" customHeight="1" thickBot="1">
      <c r="B34" s="33"/>
      <c r="C34" s="2656" t="s">
        <v>31</v>
      </c>
      <c r="D34" s="2657"/>
      <c r="E34" s="71">
        <f>'3A1 Fermentación E.'!D32</f>
        <v>30205479.452054795</v>
      </c>
      <c r="F34" s="20">
        <f>'3B Gestión Estiércol N2O Dir'!F34</f>
        <v>1.2</v>
      </c>
      <c r="G34" s="831">
        <f>'3B Manejo de Estiércol CH4'!F32</f>
        <v>0.9</v>
      </c>
      <c r="H34" s="72">
        <f t="shared" si="5"/>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72">
        <v>0.4</v>
      </c>
      <c r="P34" s="72">
        <v>0.6</v>
      </c>
      <c r="Q34" s="72">
        <v>7.0000000000000007E-2</v>
      </c>
      <c r="R34" s="72">
        <v>0.18</v>
      </c>
      <c r="S34" s="72">
        <v>0.4</v>
      </c>
      <c r="T34" s="72">
        <v>0</v>
      </c>
      <c r="U34" s="72">
        <v>0.02</v>
      </c>
      <c r="V34" s="72">
        <v>0.04</v>
      </c>
      <c r="W34" s="72">
        <v>0</v>
      </c>
      <c r="X34" s="72">
        <v>0</v>
      </c>
      <c r="Y34" s="72">
        <v>0</v>
      </c>
      <c r="Z34" s="72">
        <v>0</v>
      </c>
      <c r="AA34" s="20">
        <v>0.01</v>
      </c>
      <c r="AB34" s="20">
        <v>1.0999999999999999E-2</v>
      </c>
      <c r="AC34" s="80">
        <f t="shared" si="0"/>
        <v>4762800</v>
      </c>
      <c r="AD34" s="80">
        <f t="shared" si="1"/>
        <v>0</v>
      </c>
      <c r="AE34" s="25">
        <f t="shared" si="2"/>
        <v>74844</v>
      </c>
      <c r="AF34" s="25">
        <f t="shared" si="3"/>
        <v>0</v>
      </c>
      <c r="AG34" s="891">
        <f t="shared" si="4"/>
        <v>74844</v>
      </c>
      <c r="AK34" s="1509">
        <v>0.02</v>
      </c>
      <c r="AL34" s="1509">
        <v>0.04</v>
      </c>
      <c r="AM34" s="1509">
        <v>0</v>
      </c>
      <c r="AN34" s="1509">
        <v>0</v>
      </c>
      <c r="AO34" s="1509">
        <v>0</v>
      </c>
      <c r="AP34" s="1509">
        <v>0</v>
      </c>
    </row>
    <row r="35" spans="2:42" ht="14.15" customHeight="1" thickBot="1">
      <c r="B35" s="33"/>
      <c r="C35" s="2656" t="s">
        <v>34</v>
      </c>
      <c r="D35" s="2657"/>
      <c r="E35" s="71">
        <f>'3A1 Fermentación E.'!D33</f>
        <v>13510000</v>
      </c>
      <c r="F35" s="20">
        <f>'3B Gestión Estiércol N2O Dir'!F35</f>
        <v>2.0099999999999998</v>
      </c>
      <c r="G35" s="831">
        <f>'3B Manejo de Estiércol CH4'!F33</f>
        <v>1.4</v>
      </c>
      <c r="H35" s="72">
        <f t="shared" si="5"/>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72">
        <v>0.4</v>
      </c>
      <c r="P35" s="72">
        <v>0.6</v>
      </c>
      <c r="Q35" s="72">
        <v>7.0000000000000007E-2</v>
      </c>
      <c r="R35" s="72">
        <v>0.18</v>
      </c>
      <c r="S35" s="72">
        <v>0.4</v>
      </c>
      <c r="T35" s="72">
        <v>0</v>
      </c>
      <c r="U35" s="72">
        <v>0.02</v>
      </c>
      <c r="V35" s="72">
        <v>0.04</v>
      </c>
      <c r="W35" s="72">
        <v>0</v>
      </c>
      <c r="X35" s="72">
        <v>0</v>
      </c>
      <c r="Y35" s="72">
        <v>0</v>
      </c>
      <c r="Z35" s="72">
        <v>0</v>
      </c>
      <c r="AA35" s="20">
        <v>0.01</v>
      </c>
      <c r="AB35" s="20">
        <v>1.0999999999999999E-2</v>
      </c>
      <c r="AC35" s="80">
        <f t="shared" si="0"/>
        <v>3779892.1616400001</v>
      </c>
      <c r="AD35" s="80">
        <f t="shared" si="1"/>
        <v>116560.55124</v>
      </c>
      <c r="AE35" s="25">
        <f t="shared" si="2"/>
        <v>59398.305397200005</v>
      </c>
      <c r="AF35" s="25">
        <f t="shared" si="3"/>
        <v>2014.8323857199998</v>
      </c>
      <c r="AG35" s="891">
        <f t="shared" si="4"/>
        <v>61413.137782920006</v>
      </c>
      <c r="AK35" s="1509">
        <v>0.02</v>
      </c>
      <c r="AL35" s="1509">
        <v>0.04</v>
      </c>
      <c r="AM35" s="1509">
        <v>0</v>
      </c>
      <c r="AN35" s="1509">
        <v>0</v>
      </c>
      <c r="AO35" s="1509">
        <v>0</v>
      </c>
      <c r="AP35" s="1509">
        <v>0</v>
      </c>
    </row>
    <row r="36" spans="2:42" ht="14.5" customHeight="1" thickBot="1">
      <c r="B36" s="33"/>
      <c r="C36" s="2656" t="s">
        <v>32</v>
      </c>
      <c r="D36" s="2657"/>
      <c r="E36" s="71">
        <f>'3A1 Fermentación E.'!D34</f>
        <v>70291.655854557073</v>
      </c>
      <c r="F36" s="20">
        <f>'3B Gestión Estiércol N2O Dir'!F36</f>
        <v>0.83</v>
      </c>
      <c r="G36" s="831">
        <f>'3B Manejo de Estiércol CH4'!F34</f>
        <v>2.7</v>
      </c>
      <c r="H36" s="72">
        <f t="shared" si="5"/>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72">
        <v>0.4</v>
      </c>
      <c r="P36" s="72">
        <v>0.6</v>
      </c>
      <c r="Q36" s="72">
        <v>7.0000000000000007E-2</v>
      </c>
      <c r="R36" s="72">
        <v>0.18</v>
      </c>
      <c r="S36" s="72">
        <v>0.4</v>
      </c>
      <c r="T36" s="72">
        <v>0</v>
      </c>
      <c r="U36" s="72">
        <v>0.02</v>
      </c>
      <c r="V36" s="72">
        <v>0.04</v>
      </c>
      <c r="W36" s="72">
        <v>0</v>
      </c>
      <c r="X36" s="72">
        <v>0</v>
      </c>
      <c r="Y36" s="72">
        <v>0</v>
      </c>
      <c r="Z36" s="72">
        <v>0</v>
      </c>
      <c r="AA36" s="20">
        <v>0.01</v>
      </c>
      <c r="AB36" s="20">
        <v>1.0999999999999999E-2</v>
      </c>
      <c r="AC36" s="80">
        <f t="shared" si="0"/>
        <v>22998.445712429108</v>
      </c>
      <c r="AD36" s="80">
        <f t="shared" si="1"/>
        <v>0</v>
      </c>
      <c r="AE36" s="25">
        <f t="shared" si="2"/>
        <v>361.40414690960029</v>
      </c>
      <c r="AF36" s="25">
        <f t="shared" si="3"/>
        <v>0</v>
      </c>
      <c r="AG36" s="891">
        <f t="shared" si="4"/>
        <v>361.40414690960029</v>
      </c>
      <c r="AK36" s="1509">
        <v>0.02</v>
      </c>
      <c r="AL36" s="1509">
        <v>0.04</v>
      </c>
      <c r="AM36" s="1509">
        <v>0</v>
      </c>
      <c r="AN36" s="1509">
        <v>0</v>
      </c>
      <c r="AO36" s="1509">
        <v>0</v>
      </c>
      <c r="AP36" s="1509">
        <v>0</v>
      </c>
    </row>
    <row r="37" spans="2:42" ht="14" customHeight="1" thickBot="1">
      <c r="B37" s="33"/>
      <c r="C37" s="2656" t="s">
        <v>33</v>
      </c>
      <c r="D37" s="2657"/>
      <c r="E37" s="71">
        <f>'3A1 Fermentación E.'!D35</f>
        <v>198716.80964562827</v>
      </c>
      <c r="F37" s="20">
        <f>'3B Gestión Estiércol N2O Dir'!F37</f>
        <v>0.74</v>
      </c>
      <c r="G37" s="831">
        <f>'3B Manejo de Estiércol CH4'!F35</f>
        <v>6.8</v>
      </c>
      <c r="H37" s="72">
        <f t="shared" si="5"/>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72">
        <v>0.4</v>
      </c>
      <c r="P37" s="72">
        <v>0.6</v>
      </c>
      <c r="Q37" s="72">
        <v>7.0000000000000007E-2</v>
      </c>
      <c r="R37" s="72">
        <v>0.18</v>
      </c>
      <c r="S37" s="72">
        <v>0.4</v>
      </c>
      <c r="T37" s="72">
        <v>0</v>
      </c>
      <c r="U37" s="72">
        <v>0.02</v>
      </c>
      <c r="V37" s="72">
        <v>0.04</v>
      </c>
      <c r="W37" s="72">
        <v>0</v>
      </c>
      <c r="X37" s="72">
        <v>0</v>
      </c>
      <c r="Y37" s="72">
        <v>0</v>
      </c>
      <c r="Z37" s="72">
        <v>0</v>
      </c>
      <c r="AA37" s="20">
        <v>0.01</v>
      </c>
      <c r="AB37" s="20">
        <v>1.0999999999999999E-2</v>
      </c>
      <c r="AC37" s="80">
        <f t="shared" si="0"/>
        <v>145991.67597597302</v>
      </c>
      <c r="AD37" s="80">
        <f t="shared" si="1"/>
        <v>0</v>
      </c>
      <c r="AE37" s="25">
        <f t="shared" si="2"/>
        <v>2294.1549081938615</v>
      </c>
      <c r="AF37" s="25">
        <f t="shared" si="3"/>
        <v>0</v>
      </c>
      <c r="AG37" s="891">
        <f t="shared" si="4"/>
        <v>2294.1549081938615</v>
      </c>
      <c r="AK37" s="1509">
        <v>0.02</v>
      </c>
      <c r="AL37" s="1509">
        <v>0.04</v>
      </c>
      <c r="AM37" s="1509">
        <v>0</v>
      </c>
      <c r="AN37" s="1509">
        <v>0</v>
      </c>
      <c r="AO37" s="1509">
        <v>0</v>
      </c>
      <c r="AP37" s="1509">
        <v>0</v>
      </c>
    </row>
    <row r="38" spans="2:42" ht="14.5" customHeight="1" thickBot="1">
      <c r="B38" s="827" t="s">
        <v>46</v>
      </c>
      <c r="C38" s="850"/>
      <c r="D38" s="850"/>
      <c r="E38" s="854">
        <f>SUM(E15:E37)</f>
        <v>50677079.435412392</v>
      </c>
      <c r="F38" s="855"/>
      <c r="G38" s="855"/>
      <c r="H38" s="855"/>
      <c r="I38" s="869"/>
      <c r="J38" s="869"/>
      <c r="K38" s="869"/>
      <c r="L38" s="869"/>
      <c r="M38" s="869"/>
      <c r="N38" s="869"/>
      <c r="O38" s="870"/>
      <c r="P38" s="870"/>
      <c r="Q38" s="870"/>
      <c r="R38" s="870"/>
      <c r="S38" s="870"/>
      <c r="T38" s="870"/>
      <c r="U38" s="870"/>
      <c r="V38" s="870"/>
      <c r="W38" s="870"/>
      <c r="X38" s="870"/>
      <c r="Y38" s="870"/>
      <c r="Z38" s="870"/>
      <c r="AA38" s="30"/>
      <c r="AB38" s="30"/>
      <c r="AC38" s="30"/>
      <c r="AD38" s="30"/>
      <c r="AE38" s="871">
        <f>SUM(AE15:AE37)</f>
        <v>336646.19572923816</v>
      </c>
      <c r="AF38" s="871">
        <f>SUM(AF15:AF37)</f>
        <v>15119.823981486292</v>
      </c>
      <c r="AG38" s="922">
        <f>AE38+AF38</f>
        <v>351766.01971072447</v>
      </c>
      <c r="AK38" s="1511"/>
      <c r="AL38" s="1511"/>
      <c r="AM38" s="1511"/>
      <c r="AN38" s="1511"/>
      <c r="AO38" s="1511"/>
      <c r="AP38" s="1511"/>
    </row>
    <row r="39" spans="2:42" ht="14.15" customHeight="1">
      <c r="B39" s="31"/>
      <c r="C39" s="2645" t="s">
        <v>1320</v>
      </c>
      <c r="D39" s="2645"/>
      <c r="E39" s="2645"/>
      <c r="F39" s="2645"/>
      <c r="G39" s="2645"/>
      <c r="H39" s="2645"/>
      <c r="I39" s="2645"/>
      <c r="J39" s="2645"/>
      <c r="K39" s="2645"/>
      <c r="L39" s="2645"/>
      <c r="M39" s="2645"/>
      <c r="N39" s="2645"/>
      <c r="O39" s="2645"/>
      <c r="P39" s="2645"/>
      <c r="Q39" s="2645"/>
      <c r="R39" s="2645"/>
      <c r="S39" s="2645"/>
      <c r="T39" s="2645"/>
      <c r="U39" s="2645"/>
      <c r="V39" s="2645"/>
      <c r="W39" s="2645"/>
      <c r="X39" s="2645"/>
      <c r="Y39" s="2645"/>
      <c r="Z39" s="2645"/>
      <c r="AA39" s="2645"/>
      <c r="AB39" s="2645"/>
      <c r="AC39" s="2645"/>
      <c r="AD39" s="2645"/>
      <c r="AE39" s="2645"/>
      <c r="AF39" s="2645"/>
    </row>
    <row r="40" spans="2:42" ht="14.5" customHeight="1">
      <c r="B40" s="31"/>
      <c r="C40" s="2646"/>
      <c r="D40" s="2646"/>
      <c r="E40" s="2646"/>
      <c r="F40" s="2646"/>
      <c r="G40" s="2646"/>
      <c r="H40" s="2646"/>
      <c r="I40" s="2646"/>
      <c r="J40" s="2646"/>
      <c r="K40" s="2646"/>
      <c r="L40" s="2646"/>
      <c r="M40" s="2646"/>
      <c r="N40" s="2646"/>
      <c r="O40" s="2646"/>
      <c r="P40" s="2646"/>
      <c r="Q40" s="2646"/>
      <c r="R40" s="2646"/>
      <c r="S40" s="2646"/>
      <c r="T40" s="2646"/>
      <c r="U40" s="2646"/>
      <c r="V40" s="2646"/>
      <c r="W40" s="2646"/>
      <c r="X40" s="2646"/>
      <c r="Y40" s="2646"/>
      <c r="Z40" s="2646"/>
      <c r="AA40" s="2646"/>
      <c r="AB40" s="2646"/>
      <c r="AC40" s="2646"/>
      <c r="AD40" s="2646"/>
      <c r="AE40" s="2646"/>
      <c r="AF40" s="2646"/>
    </row>
    <row r="41" spans="2:42">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K41" s="31"/>
      <c r="AL41" s="31"/>
      <c r="AM41" s="31"/>
      <c r="AN41" s="31"/>
      <c r="AO41" s="31"/>
      <c r="AP41" s="31"/>
    </row>
    <row r="42" spans="2:42" ht="35.5" customHeight="1">
      <c r="B42" s="31"/>
      <c r="C42" s="2632" t="s">
        <v>1305</v>
      </c>
      <c r="D42" s="2632"/>
      <c r="E42" s="2632"/>
      <c r="F42" s="2632"/>
      <c r="G42" s="2632"/>
      <c r="H42" s="2632"/>
      <c r="I42" s="2632"/>
      <c r="J42" s="31"/>
      <c r="K42" s="31"/>
      <c r="L42" s="31"/>
      <c r="M42" s="31"/>
      <c r="N42" s="31"/>
      <c r="O42" s="31"/>
      <c r="P42" s="31"/>
      <c r="Q42" s="31"/>
      <c r="R42" s="31"/>
      <c r="S42" s="31"/>
      <c r="T42" s="31"/>
      <c r="U42" s="31"/>
      <c r="V42" s="31"/>
      <c r="W42" s="31"/>
      <c r="X42" s="31"/>
      <c r="Y42" s="31"/>
      <c r="Z42" s="31"/>
      <c r="AK42" s="31"/>
      <c r="AL42" s="31"/>
      <c r="AM42" s="31"/>
      <c r="AN42" s="31"/>
      <c r="AO42" s="31"/>
      <c r="AP42" s="31"/>
    </row>
    <row r="43" spans="2:42" ht="42.5" customHeight="1">
      <c r="C43" s="2631" t="s">
        <v>1300</v>
      </c>
      <c r="D43" s="2631"/>
      <c r="E43" s="847" t="s">
        <v>1284</v>
      </c>
      <c r="F43" s="847" t="s">
        <v>1315</v>
      </c>
      <c r="G43" s="847" t="s">
        <v>124</v>
      </c>
      <c r="H43" s="848" t="s">
        <v>1298</v>
      </c>
      <c r="I43" s="847" t="s">
        <v>1340</v>
      </c>
      <c r="J43" s="847" t="s">
        <v>1341</v>
      </c>
      <c r="K43" s="847" t="s">
        <v>1342</v>
      </c>
      <c r="L43" s="847" t="s">
        <v>1343</v>
      </c>
    </row>
    <row r="44" spans="2:42">
      <c r="C44" s="2630" t="s">
        <v>21</v>
      </c>
      <c r="D44" s="2630"/>
      <c r="E44" s="846" t="s">
        <v>2392</v>
      </c>
      <c r="F44" s="846" t="s">
        <v>1316</v>
      </c>
      <c r="G44" s="846" t="s">
        <v>1285</v>
      </c>
      <c r="H44" s="846" t="s">
        <v>1299</v>
      </c>
      <c r="I44" s="846" t="s">
        <v>1344</v>
      </c>
      <c r="J44" s="846" t="s">
        <v>1344</v>
      </c>
      <c r="K44" s="846" t="s">
        <v>1359</v>
      </c>
      <c r="L44" s="846" t="s">
        <v>1360</v>
      </c>
      <c r="M44" t="s">
        <v>43</v>
      </c>
    </row>
    <row r="45" spans="2:42">
      <c r="C45" s="2630" t="s">
        <v>37</v>
      </c>
      <c r="D45" s="2630"/>
      <c r="E45" s="846" t="s">
        <v>1225</v>
      </c>
      <c r="F45" s="846" t="s">
        <v>1316</v>
      </c>
      <c r="G45" s="846" t="s">
        <v>1285</v>
      </c>
      <c r="H45" s="846" t="s">
        <v>1299</v>
      </c>
      <c r="I45" s="846" t="s">
        <v>1345</v>
      </c>
      <c r="J45" s="846" t="s">
        <v>1345</v>
      </c>
      <c r="K45" s="846" t="s">
        <v>1359</v>
      </c>
      <c r="L45" s="846" t="s">
        <v>1360</v>
      </c>
      <c r="M45" t="s">
        <v>43</v>
      </c>
      <c r="AA45" s="368"/>
      <c r="AB45" s="368"/>
      <c r="AC45" s="368"/>
      <c r="AD45" s="368"/>
      <c r="AE45" s="368"/>
      <c r="AF45" s="845"/>
    </row>
    <row r="46" spans="2:42" ht="13" customHeight="1">
      <c r="C46" s="2630" t="s">
        <v>38</v>
      </c>
      <c r="D46" s="2630"/>
      <c r="E46" s="846" t="s">
        <v>1225</v>
      </c>
      <c r="F46" s="846" t="s">
        <v>1316</v>
      </c>
      <c r="G46" s="846" t="s">
        <v>1285</v>
      </c>
      <c r="H46" s="846" t="s">
        <v>1299</v>
      </c>
      <c r="I46" s="846" t="s">
        <v>1346</v>
      </c>
      <c r="J46" s="846" t="s">
        <v>1346</v>
      </c>
      <c r="K46" s="846" t="s">
        <v>1359</v>
      </c>
      <c r="L46" s="846" t="s">
        <v>1360</v>
      </c>
      <c r="M46" t="s">
        <v>43</v>
      </c>
      <c r="AA46" s="369"/>
      <c r="AB46" s="369"/>
      <c r="AC46" s="369"/>
      <c r="AD46" s="369"/>
      <c r="AE46" s="369"/>
      <c r="AF46" s="369"/>
    </row>
    <row r="47" spans="2:42" ht="13" customHeight="1">
      <c r="C47" s="2630" t="s">
        <v>39</v>
      </c>
      <c r="D47" s="2630"/>
      <c r="E47" s="846" t="s">
        <v>1225</v>
      </c>
      <c r="F47" s="846" t="s">
        <v>1316</v>
      </c>
      <c r="G47" s="846" t="s">
        <v>1286</v>
      </c>
      <c r="H47" s="846" t="s">
        <v>1299</v>
      </c>
      <c r="I47" s="846" t="s">
        <v>1347</v>
      </c>
      <c r="J47" s="846" t="s">
        <v>1347</v>
      </c>
      <c r="K47" s="846" t="s">
        <v>1359</v>
      </c>
      <c r="L47" s="846" t="s">
        <v>1360</v>
      </c>
      <c r="M47" t="s">
        <v>43</v>
      </c>
      <c r="N47" s="460"/>
      <c r="O47" s="460"/>
      <c r="P47" s="460"/>
      <c r="Q47" s="460"/>
      <c r="R47" s="460"/>
      <c r="S47" s="460"/>
      <c r="T47" s="460"/>
      <c r="U47" s="460"/>
      <c r="V47" s="460"/>
      <c r="W47" s="460"/>
      <c r="X47" s="460"/>
      <c r="Y47" s="460"/>
      <c r="Z47" s="460"/>
      <c r="AA47" s="297"/>
      <c r="AB47" s="297"/>
      <c r="AC47" s="297"/>
      <c r="AD47" s="297"/>
      <c r="AE47" s="297"/>
      <c r="AF47" s="298"/>
      <c r="AG47" s="454"/>
      <c r="AK47" s="460"/>
      <c r="AL47" s="460"/>
      <c r="AM47" s="460"/>
      <c r="AN47" s="460"/>
      <c r="AO47" s="460"/>
      <c r="AP47" s="460"/>
    </row>
    <row r="48" spans="2:42" ht="13" customHeight="1">
      <c r="C48" s="2629" t="s">
        <v>40</v>
      </c>
      <c r="D48" s="2629"/>
      <c r="E48" s="846" t="s">
        <v>2235</v>
      </c>
      <c r="F48" s="846" t="s">
        <v>1316</v>
      </c>
      <c r="G48" s="846" t="s">
        <v>1287</v>
      </c>
      <c r="H48" s="846" t="s">
        <v>1301</v>
      </c>
      <c r="I48" s="846" t="s">
        <v>1348</v>
      </c>
      <c r="J48" s="846" t="s">
        <v>1348</v>
      </c>
      <c r="K48" s="846" t="s">
        <v>1360</v>
      </c>
      <c r="L48" s="846" t="s">
        <v>1360</v>
      </c>
      <c r="M48" t="s">
        <v>43</v>
      </c>
      <c r="N48" s="460"/>
      <c r="O48" s="460"/>
      <c r="P48" s="460"/>
      <c r="Q48" s="460"/>
      <c r="R48" s="460"/>
      <c r="S48" s="460"/>
      <c r="T48" s="460"/>
      <c r="U48" s="460"/>
      <c r="V48" s="460"/>
      <c r="W48" s="460"/>
      <c r="X48" s="460"/>
      <c r="Y48" s="460"/>
      <c r="Z48" s="460"/>
      <c r="AA48" s="297"/>
      <c r="AB48" s="297"/>
      <c r="AC48" s="297"/>
      <c r="AD48" s="297"/>
      <c r="AE48" s="297"/>
      <c r="AF48" s="298"/>
      <c r="AK48" s="460"/>
      <c r="AL48" s="460"/>
      <c r="AM48" s="460"/>
      <c r="AN48" s="460"/>
      <c r="AO48" s="460"/>
      <c r="AP48" s="460"/>
    </row>
    <row r="49" spans="3:42" ht="18" customHeight="1">
      <c r="C49" s="2629" t="s">
        <v>26</v>
      </c>
      <c r="D49" s="2629"/>
      <c r="E49" s="846" t="s">
        <v>1231</v>
      </c>
      <c r="F49" s="846" t="s">
        <v>1316</v>
      </c>
      <c r="G49" s="846" t="s">
        <v>1288</v>
      </c>
      <c r="H49" s="846" t="s">
        <v>1301</v>
      </c>
      <c r="I49" s="846" t="s">
        <v>1349</v>
      </c>
      <c r="J49" s="846" t="s">
        <v>1349</v>
      </c>
      <c r="K49" s="846" t="s">
        <v>1360</v>
      </c>
      <c r="L49" s="846" t="s">
        <v>1360</v>
      </c>
      <c r="M49" t="s">
        <v>43</v>
      </c>
      <c r="N49" s="460"/>
      <c r="O49" s="460"/>
      <c r="P49" s="460"/>
      <c r="Q49" s="460"/>
      <c r="R49" s="460"/>
      <c r="S49" s="460"/>
      <c r="T49" s="460"/>
      <c r="U49" s="460"/>
      <c r="V49" s="460"/>
      <c r="W49" s="460"/>
      <c r="X49" s="460"/>
      <c r="Y49" s="460"/>
      <c r="Z49" s="460"/>
      <c r="AA49" s="297"/>
      <c r="AB49" s="297"/>
      <c r="AC49" s="297"/>
      <c r="AD49" s="297"/>
      <c r="AE49" s="297"/>
      <c r="AF49" s="298"/>
      <c r="AK49" s="460"/>
      <c r="AL49" s="460"/>
      <c r="AM49" s="460"/>
      <c r="AN49" s="460"/>
      <c r="AO49" s="460"/>
      <c r="AP49" s="460"/>
    </row>
    <row r="50" spans="3:42">
      <c r="C50" s="2629" t="s">
        <v>27</v>
      </c>
      <c r="D50" s="2629"/>
      <c r="E50" s="846" t="s">
        <v>2393</v>
      </c>
      <c r="F50" s="846" t="s">
        <v>1316</v>
      </c>
      <c r="G50" s="846" t="s">
        <v>1289</v>
      </c>
      <c r="H50" s="846" t="s">
        <v>1301</v>
      </c>
      <c r="I50" s="846" t="s">
        <v>1350</v>
      </c>
      <c r="J50" s="846" t="s">
        <v>1350</v>
      </c>
      <c r="K50" s="846" t="s">
        <v>1360</v>
      </c>
      <c r="L50" s="846" t="s">
        <v>1360</v>
      </c>
      <c r="M50" t="s">
        <v>43</v>
      </c>
      <c r="N50" s="460"/>
      <c r="O50" s="460"/>
      <c r="P50" s="460"/>
      <c r="Q50" s="460"/>
      <c r="R50" s="460"/>
      <c r="S50" s="460"/>
      <c r="T50" s="460"/>
      <c r="U50" s="460"/>
      <c r="V50" s="460"/>
      <c r="W50" s="460"/>
      <c r="X50" s="460"/>
      <c r="Y50" s="460"/>
      <c r="Z50" s="460"/>
      <c r="AA50" s="297"/>
      <c r="AB50" s="297"/>
      <c r="AC50" s="297"/>
      <c r="AD50" s="297"/>
      <c r="AE50" s="297"/>
      <c r="AF50" s="298"/>
      <c r="AK50" s="460"/>
      <c r="AL50" s="460"/>
      <c r="AM50" s="460"/>
      <c r="AN50" s="460"/>
      <c r="AO50" s="460"/>
      <c r="AP50" s="460"/>
    </row>
    <row r="51" spans="3:42">
      <c r="C51" s="2629" t="s">
        <v>752</v>
      </c>
      <c r="D51" s="2629"/>
      <c r="E51" s="846" t="s">
        <v>966</v>
      </c>
      <c r="F51" s="846" t="s">
        <v>1316</v>
      </c>
      <c r="G51" s="846" t="s">
        <v>1290</v>
      </c>
      <c r="H51" s="846" t="s">
        <v>1301</v>
      </c>
      <c r="I51" s="846" t="s">
        <v>1351</v>
      </c>
      <c r="J51" s="846" t="s">
        <v>1351</v>
      </c>
      <c r="K51" s="846" t="s">
        <v>1360</v>
      </c>
      <c r="L51" s="846" t="s">
        <v>1360</v>
      </c>
      <c r="M51" t="s">
        <v>43</v>
      </c>
      <c r="AA51" s="297"/>
      <c r="AB51" s="297"/>
      <c r="AC51" s="297"/>
      <c r="AD51" s="297"/>
      <c r="AE51" s="297"/>
      <c r="AF51" s="298"/>
    </row>
    <row r="52" spans="3:42">
      <c r="C52" s="2629" t="s">
        <v>28</v>
      </c>
      <c r="D52" s="2629"/>
      <c r="E52" s="846" t="s">
        <v>2393</v>
      </c>
      <c r="F52" s="846" t="s">
        <v>1316</v>
      </c>
      <c r="G52" s="846" t="s">
        <v>1291</v>
      </c>
      <c r="H52" s="846" t="s">
        <v>1301</v>
      </c>
      <c r="I52" s="846" t="s">
        <v>1352</v>
      </c>
      <c r="J52" s="846" t="s">
        <v>1352</v>
      </c>
      <c r="K52" s="846" t="s">
        <v>1360</v>
      </c>
      <c r="L52" s="846" t="s">
        <v>1360</v>
      </c>
      <c r="M52" t="s">
        <v>43</v>
      </c>
      <c r="AA52" s="297"/>
      <c r="AB52" s="297"/>
      <c r="AC52" s="297"/>
      <c r="AD52" s="297"/>
      <c r="AE52" s="297"/>
    </row>
    <row r="53" spans="3:42">
      <c r="C53" s="2629" t="s">
        <v>42</v>
      </c>
      <c r="D53" s="2629"/>
      <c r="E53" s="846" t="s">
        <v>2393</v>
      </c>
      <c r="F53" s="846" t="s">
        <v>1316</v>
      </c>
      <c r="G53" s="846" t="s">
        <v>1292</v>
      </c>
      <c r="H53" s="846" t="s">
        <v>1301</v>
      </c>
      <c r="I53" s="846" t="s">
        <v>1353</v>
      </c>
      <c r="J53" s="846" t="s">
        <v>1353</v>
      </c>
      <c r="K53" s="846" t="s">
        <v>1360</v>
      </c>
      <c r="L53" s="846" t="s">
        <v>1360</v>
      </c>
      <c r="M53" t="s">
        <v>43</v>
      </c>
      <c r="AA53" s="297"/>
      <c r="AB53" s="297"/>
      <c r="AC53" s="297"/>
      <c r="AD53" s="297"/>
      <c r="AE53" s="297"/>
    </row>
    <row r="54" spans="3:42">
      <c r="C54" s="2629" t="s">
        <v>30</v>
      </c>
      <c r="D54" s="2629"/>
      <c r="E54" s="846" t="s">
        <v>1236</v>
      </c>
      <c r="F54" s="846" t="s">
        <v>1316</v>
      </c>
      <c r="G54" s="846" t="s">
        <v>1293</v>
      </c>
      <c r="H54" s="846" t="s">
        <v>1301</v>
      </c>
      <c r="I54" s="846" t="s">
        <v>1354</v>
      </c>
      <c r="J54" s="846" t="s">
        <v>1354</v>
      </c>
      <c r="K54" s="846" t="s">
        <v>1360</v>
      </c>
      <c r="L54" s="846" t="s">
        <v>1360</v>
      </c>
      <c r="M54" t="s">
        <v>43</v>
      </c>
      <c r="AA54" s="297"/>
      <c r="AB54" s="297"/>
      <c r="AC54" s="297"/>
      <c r="AD54" s="297"/>
      <c r="AE54" s="297"/>
    </row>
    <row r="55" spans="3:42">
      <c r="C55" s="2629" t="s">
        <v>31</v>
      </c>
      <c r="D55" s="2629"/>
      <c r="E55" s="846" t="s">
        <v>1241</v>
      </c>
      <c r="F55" s="846" t="s">
        <v>1317</v>
      </c>
      <c r="G55" s="846" t="s">
        <v>1294</v>
      </c>
      <c r="H55" s="846" t="s">
        <v>1301</v>
      </c>
      <c r="I55" s="846" t="s">
        <v>1355</v>
      </c>
      <c r="J55" s="846" t="s">
        <v>1355</v>
      </c>
      <c r="K55" s="846" t="s">
        <v>1360</v>
      </c>
      <c r="L55" s="846" t="s">
        <v>1360</v>
      </c>
      <c r="M55" t="s">
        <v>43</v>
      </c>
      <c r="AA55" s="297"/>
      <c r="AB55" s="297"/>
      <c r="AC55" s="297"/>
      <c r="AD55" s="297"/>
      <c r="AE55" s="297"/>
    </row>
    <row r="56" spans="3:42">
      <c r="C56" s="2629" t="s">
        <v>34</v>
      </c>
      <c r="D56" s="2629"/>
      <c r="E56" s="846" t="s">
        <v>1241</v>
      </c>
      <c r="F56" s="846" t="s">
        <v>1317</v>
      </c>
      <c r="G56" s="846" t="s">
        <v>1295</v>
      </c>
      <c r="H56" s="846" t="s">
        <v>1301</v>
      </c>
      <c r="I56" s="846" t="s">
        <v>1356</v>
      </c>
      <c r="J56" s="846" t="s">
        <v>1356</v>
      </c>
      <c r="K56" s="846" t="s">
        <v>1360</v>
      </c>
      <c r="L56" s="846" t="s">
        <v>1360</v>
      </c>
      <c r="M56" t="s">
        <v>43</v>
      </c>
      <c r="AA56" s="297"/>
      <c r="AB56" s="297"/>
      <c r="AC56" s="297"/>
      <c r="AD56" s="297"/>
      <c r="AE56" s="297"/>
    </row>
    <row r="57" spans="3:42">
      <c r="C57" s="2629" t="s">
        <v>32</v>
      </c>
      <c r="D57" s="2629"/>
      <c r="E57" s="846" t="s">
        <v>2394</v>
      </c>
      <c r="F57" s="846" t="s">
        <v>1318</v>
      </c>
      <c r="G57" s="846" t="s">
        <v>1296</v>
      </c>
      <c r="H57" s="846" t="s">
        <v>1301</v>
      </c>
      <c r="I57" s="846" t="s">
        <v>1357</v>
      </c>
      <c r="J57" s="846" t="s">
        <v>1357</v>
      </c>
      <c r="K57" s="846" t="s">
        <v>1360</v>
      </c>
      <c r="L57" s="846" t="s">
        <v>1360</v>
      </c>
      <c r="M57" t="s">
        <v>43</v>
      </c>
    </row>
    <row r="58" spans="3:42">
      <c r="C58" s="2629" t="s">
        <v>33</v>
      </c>
      <c r="D58" s="2629"/>
      <c r="E58" s="846" t="s">
        <v>2394</v>
      </c>
      <c r="F58" s="846" t="s">
        <v>1318</v>
      </c>
      <c r="G58" s="846" t="s">
        <v>1297</v>
      </c>
      <c r="H58" s="846" t="s">
        <v>1301</v>
      </c>
      <c r="I58" s="846" t="s">
        <v>1358</v>
      </c>
      <c r="J58" s="846" t="s">
        <v>1358</v>
      </c>
      <c r="K58" s="846" t="s">
        <v>1360</v>
      </c>
      <c r="L58" s="846" t="s">
        <v>1360</v>
      </c>
      <c r="M58" t="s">
        <v>43</v>
      </c>
    </row>
    <row r="59" spans="3:42">
      <c r="C59" s="296"/>
      <c r="D59" s="296"/>
      <c r="E59" s="297"/>
      <c r="F59" s="297"/>
      <c r="G59" s="620"/>
    </row>
    <row r="60" spans="3:42">
      <c r="C60" s="296"/>
      <c r="D60" s="296"/>
      <c r="E60" s="297"/>
      <c r="F60" s="297"/>
      <c r="G60" s="620"/>
    </row>
    <row r="61" spans="3:42">
      <c r="C61" s="296"/>
      <c r="D61" s="296"/>
      <c r="E61" s="297"/>
      <c r="F61" s="297"/>
      <c r="G61" s="620"/>
    </row>
    <row r="62" spans="3:42">
      <c r="C62" s="296"/>
      <c r="D62" s="296"/>
      <c r="E62" s="297"/>
      <c r="F62" s="297"/>
      <c r="G62" s="620"/>
    </row>
    <row r="63" spans="3:42">
      <c r="C63" s="296"/>
      <c r="D63" s="296"/>
      <c r="E63" s="297"/>
      <c r="F63" s="297"/>
      <c r="G63" s="620"/>
    </row>
    <row r="64" spans="3:42">
      <c r="C64" s="296"/>
      <c r="D64" s="296"/>
      <c r="E64" s="297"/>
      <c r="F64" s="297"/>
      <c r="G64" s="620"/>
    </row>
    <row r="65" spans="3:42">
      <c r="C65" s="296"/>
      <c r="D65" s="296"/>
      <c r="E65" s="297"/>
      <c r="F65" s="297"/>
      <c r="G65" s="620"/>
    </row>
    <row r="66" spans="3:42">
      <c r="C66" s="296"/>
      <c r="D66" s="296"/>
      <c r="E66" s="297"/>
      <c r="F66" s="297"/>
      <c r="G66" s="620"/>
    </row>
    <row r="67" spans="3:42">
      <c r="C67" s="296"/>
      <c r="D67" s="296"/>
      <c r="E67" s="297"/>
      <c r="F67" s="297"/>
      <c r="G67" s="620"/>
    </row>
    <row r="68" spans="3:42">
      <c r="C68" s="296"/>
      <c r="D68" s="296"/>
      <c r="E68" s="297"/>
      <c r="F68" s="297"/>
      <c r="G68" s="620"/>
    </row>
    <row r="69" spans="3:42">
      <c r="C69" s="296"/>
      <c r="D69" s="296"/>
      <c r="E69" s="297"/>
      <c r="F69" s="297"/>
      <c r="G69" s="297"/>
    </row>
    <row r="70" spans="3:42" ht="14.15" customHeight="1">
      <c r="C70" s="296"/>
      <c r="D70" s="296"/>
      <c r="E70" s="297"/>
    </row>
    <row r="71" spans="3:42">
      <c r="C71" s="296"/>
      <c r="D71" s="296"/>
      <c r="E71" s="297"/>
    </row>
    <row r="72" spans="3:42">
      <c r="C72" s="296"/>
      <c r="D72" s="296"/>
      <c r="E72" s="297"/>
    </row>
    <row r="73" spans="3:42" ht="14.15" customHeight="1">
      <c r="C73" s="296"/>
      <c r="D73" s="296"/>
      <c r="E73" s="297"/>
    </row>
    <row r="74" spans="3:42">
      <c r="C74" s="296"/>
      <c r="D74" s="296"/>
      <c r="E74" s="297"/>
    </row>
    <row r="75" spans="3:42">
      <c r="C75" s="296"/>
      <c r="D75" s="296"/>
      <c r="E75" s="297"/>
      <c r="J75" s="75"/>
      <c r="K75" s="75"/>
      <c r="L75" s="75"/>
      <c r="M75" s="75"/>
      <c r="N75" s="75"/>
      <c r="O75" s="75"/>
      <c r="P75" s="75"/>
      <c r="Q75" s="75"/>
      <c r="R75" s="75"/>
      <c r="S75" s="75"/>
      <c r="T75" s="75"/>
      <c r="U75" s="75"/>
      <c r="V75" s="75"/>
      <c r="W75" s="75"/>
      <c r="X75" s="75"/>
      <c r="Y75" s="75"/>
      <c r="Z75" s="75"/>
      <c r="AK75" s="75"/>
      <c r="AL75" s="75"/>
      <c r="AM75" s="75"/>
      <c r="AN75" s="75"/>
      <c r="AO75" s="75"/>
      <c r="AP75" s="75"/>
    </row>
    <row r="76" spans="3:42">
      <c r="C76" s="296"/>
      <c r="D76" s="296"/>
      <c r="E76" s="297"/>
      <c r="J76" s="75"/>
      <c r="K76" s="75"/>
      <c r="L76" s="75"/>
      <c r="M76" s="75"/>
      <c r="N76" s="75"/>
      <c r="O76" s="75"/>
      <c r="P76" s="75"/>
      <c r="Q76" s="75"/>
      <c r="R76" s="75"/>
      <c r="S76" s="75"/>
      <c r="T76" s="75"/>
      <c r="U76" s="75"/>
      <c r="V76" s="75"/>
      <c r="W76" s="75"/>
      <c r="X76" s="75"/>
      <c r="Y76" s="75"/>
      <c r="Z76" s="75"/>
      <c r="AK76" s="75"/>
      <c r="AL76" s="75"/>
      <c r="AM76" s="75"/>
      <c r="AN76" s="75"/>
      <c r="AO76" s="75"/>
      <c r="AP76" s="75"/>
    </row>
    <row r="77" spans="3:42">
      <c r="C77" s="296"/>
      <c r="D77" s="296"/>
      <c r="E77" s="297"/>
    </row>
    <row r="78" spans="3:42">
      <c r="C78" s="296"/>
      <c r="D78" s="296"/>
    </row>
    <row r="79" spans="3:42">
      <c r="C79" s="296"/>
      <c r="D79" s="296"/>
    </row>
    <row r="80" spans="3:42">
      <c r="C80" s="296"/>
      <c r="D80" s="296"/>
    </row>
    <row r="81" spans="3:4">
      <c r="C81" s="296"/>
      <c r="D81" s="296"/>
    </row>
    <row r="82" spans="3:4">
      <c r="C82" s="296"/>
      <c r="D82" s="296"/>
    </row>
    <row r="83" spans="3:4">
      <c r="C83" s="296"/>
      <c r="D83" s="296"/>
    </row>
    <row r="84" spans="3:4">
      <c r="C84" s="296"/>
      <c r="D84" s="296"/>
    </row>
  </sheetData>
  <mergeCells count="63">
    <mergeCell ref="B6:E6"/>
    <mergeCell ref="F6:N6"/>
    <mergeCell ref="B2:N2"/>
    <mergeCell ref="B4:E4"/>
    <mergeCell ref="F4:N4"/>
    <mergeCell ref="B5:E5"/>
    <mergeCell ref="F5:N5"/>
    <mergeCell ref="AA12:AB12"/>
    <mergeCell ref="AA13:AB13"/>
    <mergeCell ref="B7:E7"/>
    <mergeCell ref="F7:N7"/>
    <mergeCell ref="F8:H8"/>
    <mergeCell ref="B9:B13"/>
    <mergeCell ref="I9:N9"/>
    <mergeCell ref="AA9:AB9"/>
    <mergeCell ref="C10:D13"/>
    <mergeCell ref="E10:E11"/>
    <mergeCell ref="G10:G11"/>
    <mergeCell ref="E12:E13"/>
    <mergeCell ref="F12:F13"/>
    <mergeCell ref="G12:G13"/>
    <mergeCell ref="H12:H13"/>
    <mergeCell ref="I12:N13"/>
    <mergeCell ref="C36:D36"/>
    <mergeCell ref="C37:D37"/>
    <mergeCell ref="C39:AF40"/>
    <mergeCell ref="C42:I42"/>
    <mergeCell ref="C43:D43"/>
    <mergeCell ref="C51:D51"/>
    <mergeCell ref="C52:D52"/>
    <mergeCell ref="C45:D45"/>
    <mergeCell ref="C46:D46"/>
    <mergeCell ref="C47:D47"/>
    <mergeCell ref="C48:D48"/>
    <mergeCell ref="C49:D49"/>
    <mergeCell ref="C50:D50"/>
    <mergeCell ref="C33:D33"/>
    <mergeCell ref="C34:D34"/>
    <mergeCell ref="C35:D35"/>
    <mergeCell ref="U9:Z9"/>
    <mergeCell ref="V13:Y13"/>
    <mergeCell ref="U14:Z14"/>
    <mergeCell ref="C14:D14"/>
    <mergeCell ref="I14:N14"/>
    <mergeCell ref="C27:D27"/>
    <mergeCell ref="C28:D28"/>
    <mergeCell ref="C29:D29"/>
    <mergeCell ref="AK9:AP9"/>
    <mergeCell ref="AL13:AO13"/>
    <mergeCell ref="AK14:AP14"/>
    <mergeCell ref="C57:D57"/>
    <mergeCell ref="C58:D58"/>
    <mergeCell ref="O9:T9"/>
    <mergeCell ref="P13:S13"/>
    <mergeCell ref="O14:T14"/>
    <mergeCell ref="C53:D53"/>
    <mergeCell ref="C54:D54"/>
    <mergeCell ref="C55:D55"/>
    <mergeCell ref="C56:D56"/>
    <mergeCell ref="C44:D44"/>
    <mergeCell ref="C30:D30"/>
    <mergeCell ref="C31:D31"/>
    <mergeCell ref="C32:D32"/>
  </mergeCells>
  <phoneticPr fontId="59"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3:V70"/>
  <sheetViews>
    <sheetView showGridLines="0" topLeftCell="H9" zoomScale="80" zoomScaleNormal="80" workbookViewId="0">
      <selection activeCell="E22" sqref="E22"/>
    </sheetView>
  </sheetViews>
  <sheetFormatPr defaultColWidth="10.6640625" defaultRowHeight="14"/>
  <cols>
    <col min="1" max="1" width="4.08203125" customWidth="1"/>
    <col min="2" max="2" width="4.58203125" customWidth="1"/>
    <col min="3" max="3" width="15.08203125" customWidth="1"/>
    <col min="8" max="8" width="15.5" customWidth="1"/>
    <col min="12" max="12" width="12.75" customWidth="1"/>
    <col min="13" max="13" width="8.08203125" customWidth="1"/>
    <col min="14" max="14" width="14.58203125" customWidth="1"/>
    <col min="15" max="15" width="12.58203125" customWidth="1"/>
    <col min="16" max="16" width="13" customWidth="1"/>
    <col min="17" max="17" width="11.08203125" customWidth="1"/>
    <col min="22" max="22" width="14.58203125" customWidth="1"/>
  </cols>
  <sheetData>
    <row r="3" spans="3:22">
      <c r="C3" s="2616" t="s">
        <v>483</v>
      </c>
      <c r="D3" s="2616"/>
      <c r="E3" s="2616"/>
      <c r="F3" s="2616"/>
      <c r="G3" s="2616"/>
      <c r="H3" s="2616"/>
      <c r="I3" s="641" t="s">
        <v>898</v>
      </c>
      <c r="J3" s="641"/>
      <c r="K3" s="641"/>
    </row>
    <row r="4" spans="3:22" ht="18" thickBot="1">
      <c r="V4" s="787" t="s">
        <v>1169</v>
      </c>
    </row>
    <row r="5" spans="3:22" ht="14.15" customHeight="1" thickBot="1">
      <c r="C5" s="53" t="s">
        <v>82</v>
      </c>
      <c r="D5" s="2665" t="s">
        <v>315</v>
      </c>
      <c r="E5" s="2666"/>
      <c r="F5" s="2666"/>
      <c r="G5" s="2666"/>
      <c r="H5" s="2666"/>
      <c r="I5" s="2666"/>
      <c r="J5" s="2666"/>
      <c r="K5" s="2666"/>
      <c r="L5" s="2667"/>
      <c r="N5" s="53" t="s">
        <v>82</v>
      </c>
      <c r="O5" s="2665" t="s">
        <v>315</v>
      </c>
      <c r="P5" s="2666"/>
      <c r="Q5" s="2667"/>
      <c r="V5" s="787" t="s">
        <v>1170</v>
      </c>
    </row>
    <row r="6" spans="3:22" ht="28" customHeight="1" thickBot="1">
      <c r="C6" s="54" t="s">
        <v>443</v>
      </c>
      <c r="D6" s="2665" t="s">
        <v>462</v>
      </c>
      <c r="E6" s="2666"/>
      <c r="F6" s="2666"/>
      <c r="G6" s="2666"/>
      <c r="H6" s="2666"/>
      <c r="I6" s="2666"/>
      <c r="J6" s="2666"/>
      <c r="K6" s="2666"/>
      <c r="L6" s="2667"/>
      <c r="N6" s="54" t="s">
        <v>443</v>
      </c>
      <c r="O6" s="2665" t="s">
        <v>476</v>
      </c>
      <c r="P6" s="2666"/>
      <c r="Q6" s="2667"/>
      <c r="V6" s="787" t="s">
        <v>1171</v>
      </c>
    </row>
    <row r="7" spans="3:22" ht="24" thickBot="1">
      <c r="C7" s="54" t="s">
        <v>427</v>
      </c>
      <c r="D7" s="2665" t="s">
        <v>202</v>
      </c>
      <c r="E7" s="2666"/>
      <c r="F7" s="2666"/>
      <c r="G7" s="2666"/>
      <c r="H7" s="2666"/>
      <c r="I7" s="2666"/>
      <c r="J7" s="2666"/>
      <c r="K7" s="2666"/>
      <c r="L7" s="2667"/>
      <c r="N7" s="54" t="s">
        <v>427</v>
      </c>
      <c r="O7" s="2665" t="s">
        <v>202</v>
      </c>
      <c r="P7" s="2666"/>
      <c r="Q7" s="2680"/>
      <c r="V7" s="787" t="s">
        <v>1172</v>
      </c>
    </row>
    <row r="8" spans="3:22" ht="18" thickBot="1">
      <c r="C8" s="54" t="s">
        <v>461</v>
      </c>
      <c r="D8" s="2665" t="s">
        <v>473</v>
      </c>
      <c r="E8" s="2666"/>
      <c r="F8" s="2666"/>
      <c r="G8" s="2666"/>
      <c r="H8" s="2666"/>
      <c r="I8" s="2666"/>
      <c r="J8" s="2666"/>
      <c r="K8" s="2666"/>
      <c r="L8" s="2667"/>
      <c r="N8" s="54" t="s">
        <v>461</v>
      </c>
      <c r="O8" s="2665" t="s">
        <v>460</v>
      </c>
      <c r="P8" s="2666"/>
      <c r="Q8" s="2667"/>
      <c r="V8" s="787" t="s">
        <v>1173</v>
      </c>
    </row>
    <row r="9" spans="3:22" ht="30.5" customHeight="1" thickBot="1">
      <c r="C9" s="16" t="s">
        <v>429</v>
      </c>
      <c r="D9" s="67" t="s">
        <v>203</v>
      </c>
      <c r="E9" s="2608" t="s">
        <v>464</v>
      </c>
      <c r="F9" s="2685"/>
      <c r="G9" s="2686" t="s">
        <v>465</v>
      </c>
      <c r="H9" s="2622"/>
      <c r="I9" s="2609"/>
      <c r="J9" s="2608" t="s">
        <v>466</v>
      </c>
      <c r="K9" s="2609"/>
      <c r="L9" s="2035" t="s">
        <v>466</v>
      </c>
      <c r="N9" s="16" t="s">
        <v>429</v>
      </c>
      <c r="O9" s="67" t="s">
        <v>477</v>
      </c>
      <c r="P9" s="883"/>
      <c r="Q9" s="67" t="s">
        <v>464</v>
      </c>
      <c r="V9" s="788" t="s">
        <v>1174</v>
      </c>
    </row>
    <row r="10" spans="3:22" ht="60.65" customHeight="1" thickBot="1">
      <c r="C10" s="2673" t="s">
        <v>463</v>
      </c>
      <c r="D10" s="2673" t="s">
        <v>962</v>
      </c>
      <c r="E10" s="17" t="s">
        <v>468</v>
      </c>
      <c r="F10" s="17" t="s">
        <v>469</v>
      </c>
      <c r="G10" s="17" t="s">
        <v>470</v>
      </c>
      <c r="H10" s="17" t="s">
        <v>471</v>
      </c>
      <c r="I10" s="17" t="s">
        <v>472</v>
      </c>
      <c r="J10" s="17" t="s">
        <v>1393</v>
      </c>
      <c r="K10" s="17" t="s">
        <v>1394</v>
      </c>
      <c r="L10" s="17" t="s">
        <v>474</v>
      </c>
      <c r="N10" s="2673" t="s">
        <v>463</v>
      </c>
      <c r="O10" s="2673" t="s">
        <v>467</v>
      </c>
      <c r="P10" s="17" t="s">
        <v>478</v>
      </c>
      <c r="Q10" s="17" t="s">
        <v>1001</v>
      </c>
    </row>
    <row r="11" spans="3:22" ht="22.5" customHeight="1" thickBot="1">
      <c r="C11" s="2671"/>
      <c r="D11" s="2671"/>
      <c r="E11" s="18" t="s">
        <v>204</v>
      </c>
      <c r="F11" s="18" t="s">
        <v>205</v>
      </c>
      <c r="G11" s="35" t="s">
        <v>206</v>
      </c>
      <c r="H11" s="18" t="s">
        <v>115</v>
      </c>
      <c r="I11" s="18" t="s">
        <v>115</v>
      </c>
      <c r="J11" s="18" t="s">
        <v>207</v>
      </c>
      <c r="K11" s="18"/>
      <c r="L11" s="18" t="s">
        <v>207</v>
      </c>
      <c r="N11" s="2671"/>
      <c r="O11" s="2671"/>
      <c r="P11" s="20" t="s">
        <v>221</v>
      </c>
      <c r="Q11" s="20" t="s">
        <v>220</v>
      </c>
    </row>
    <row r="12" spans="3:22" ht="27.65" customHeight="1" thickBot="1">
      <c r="C12" s="2671"/>
      <c r="D12" s="2671"/>
      <c r="E12" s="2673"/>
      <c r="F12" s="2673"/>
      <c r="G12" s="2673" t="s">
        <v>889</v>
      </c>
      <c r="H12" s="2673" t="s">
        <v>890</v>
      </c>
      <c r="I12" s="2673" t="s">
        <v>891</v>
      </c>
      <c r="J12" s="55"/>
      <c r="K12" s="55" t="s">
        <v>892</v>
      </c>
      <c r="L12" s="27" t="s">
        <v>208</v>
      </c>
      <c r="N12" s="2671"/>
      <c r="O12" s="2671"/>
      <c r="P12" s="20" t="s">
        <v>219</v>
      </c>
      <c r="Q12" s="20" t="s">
        <v>218</v>
      </c>
    </row>
    <row r="13" spans="3:22" ht="13.5" customHeight="1" thickBot="1">
      <c r="C13" s="2671"/>
      <c r="D13" s="2671"/>
      <c r="E13" s="2672"/>
      <c r="F13" s="2672"/>
      <c r="G13" s="2672"/>
      <c r="H13" s="2672"/>
      <c r="I13" s="2672"/>
      <c r="J13" s="43"/>
      <c r="K13" s="43"/>
      <c r="L13" s="18" t="s">
        <v>1398</v>
      </c>
      <c r="N13" s="2671"/>
      <c r="O13" s="2671"/>
      <c r="P13" s="28"/>
      <c r="Q13" s="28"/>
    </row>
    <row r="14" spans="3:22" ht="15" thickBot="1">
      <c r="C14" s="2681"/>
      <c r="D14" s="2681"/>
      <c r="E14" s="19" t="s">
        <v>7</v>
      </c>
      <c r="F14" s="19" t="s">
        <v>209</v>
      </c>
      <c r="G14" s="19" t="s">
        <v>210</v>
      </c>
      <c r="H14" s="19" t="s">
        <v>211</v>
      </c>
      <c r="I14" s="19" t="s">
        <v>212</v>
      </c>
      <c r="J14" s="19" t="s">
        <v>1399</v>
      </c>
      <c r="K14" s="19" t="s">
        <v>213</v>
      </c>
      <c r="L14" s="19" t="s">
        <v>214</v>
      </c>
      <c r="N14" s="2681"/>
      <c r="O14" s="2681"/>
      <c r="P14" s="19" t="s">
        <v>217</v>
      </c>
      <c r="Q14" s="19" t="s">
        <v>216</v>
      </c>
    </row>
    <row r="15" spans="3:22" ht="23.5" customHeight="1" thickTop="1" thickBot="1">
      <c r="C15" s="2682" t="s">
        <v>1389</v>
      </c>
      <c r="D15" s="20"/>
      <c r="E15" s="84">
        <f>'Datos de Actividad'!AA50</f>
        <v>84518.839571997887</v>
      </c>
      <c r="F15" s="824">
        <v>124</v>
      </c>
      <c r="G15" s="824">
        <v>1.27</v>
      </c>
      <c r="H15" s="20">
        <v>0.55000000000000004</v>
      </c>
      <c r="I15" s="20">
        <v>1.22</v>
      </c>
      <c r="J15" s="2519">
        <f>'Datos de Actividad'!AJ170</f>
        <v>5.3806392306077104E-3</v>
      </c>
      <c r="K15" s="20">
        <v>0.21</v>
      </c>
      <c r="L15" s="638">
        <f>(1+J15*K15)^0.59</f>
        <v>1.0006665068595462</v>
      </c>
      <c r="N15" s="2682" t="s">
        <v>1389</v>
      </c>
      <c r="O15" s="83"/>
      <c r="P15" s="72">
        <f>G15*H15*I15*L15</f>
        <v>0.85273797715049959</v>
      </c>
      <c r="Q15" s="189">
        <f>(E15)*F15*P15*(10^-6)</f>
        <v>8.9369806116788997</v>
      </c>
    </row>
    <row r="16" spans="3:22" ht="11.15" customHeight="1" thickBot="1">
      <c r="C16" s="2683"/>
      <c r="D16" s="712"/>
      <c r="E16" s="21"/>
      <c r="F16" s="824"/>
      <c r="G16" s="824"/>
      <c r="H16" s="20"/>
      <c r="I16" s="20"/>
      <c r="J16" s="2519"/>
      <c r="K16" s="20"/>
      <c r="L16" s="20"/>
      <c r="N16" s="2683"/>
      <c r="O16" s="79"/>
      <c r="P16" s="72"/>
      <c r="Q16" s="189"/>
    </row>
    <row r="17" spans="3:21" ht="21.65" customHeight="1" thickBot="1">
      <c r="C17" s="2684"/>
      <c r="D17" s="30" t="s">
        <v>215</v>
      </c>
      <c r="E17" s="30"/>
      <c r="F17" s="67"/>
      <c r="G17" s="67"/>
      <c r="H17" s="76"/>
      <c r="I17" s="76"/>
      <c r="J17" s="76"/>
      <c r="K17" s="76"/>
      <c r="L17" s="76"/>
      <c r="N17" s="2684"/>
      <c r="O17" s="82" t="s">
        <v>215</v>
      </c>
      <c r="P17" s="76"/>
      <c r="Q17" s="80"/>
    </row>
    <row r="18" spans="3:21" ht="14.15" customHeight="1" thickBot="1">
      <c r="C18" s="2687" t="s">
        <v>1451</v>
      </c>
      <c r="D18" s="711"/>
      <c r="E18" s="84">
        <f>'Datos de Actividad'!AA51</f>
        <v>135833.84931213947</v>
      </c>
      <c r="F18" s="824">
        <v>124</v>
      </c>
      <c r="G18" s="824">
        <v>1.27</v>
      </c>
      <c r="H18" s="20">
        <v>0.54</v>
      </c>
      <c r="I18" s="20">
        <v>2.41</v>
      </c>
      <c r="J18" s="2519">
        <f>J15</f>
        <v>5.3806392306077104E-3</v>
      </c>
      <c r="K18" s="20">
        <v>0.21</v>
      </c>
      <c r="L18" s="638">
        <f>(1+J18*K18)^0.59</f>
        <v>1.0006665068595462</v>
      </c>
      <c r="N18" s="2687" t="s">
        <v>1451</v>
      </c>
      <c r="O18" s="20"/>
      <c r="P18" s="72">
        <f>G18*H18*I18*L18</f>
        <v>1.6538795878743073</v>
      </c>
      <c r="Q18" s="189">
        <f>(E18)*F18*P18*(10^-6)</f>
        <v>27.856951009248007</v>
      </c>
    </row>
    <row r="19" spans="3:21" ht="14.15" customHeight="1" thickBot="1">
      <c r="C19" s="2683"/>
      <c r="D19" s="20"/>
      <c r="E19" s="20"/>
      <c r="F19" s="824"/>
      <c r="G19" s="824"/>
      <c r="H19" s="20"/>
      <c r="I19" s="20"/>
      <c r="J19" s="2519"/>
      <c r="K19" s="20"/>
      <c r="L19" s="20"/>
      <c r="N19" s="2683"/>
      <c r="O19" s="20"/>
      <c r="P19" s="20"/>
      <c r="Q19" s="80"/>
    </row>
    <row r="20" spans="3:21" ht="14.15" customHeight="1" thickBot="1">
      <c r="C20" s="2684"/>
      <c r="D20" s="30" t="s">
        <v>215</v>
      </c>
      <c r="E20" s="76"/>
      <c r="F20" s="67"/>
      <c r="G20" s="67"/>
      <c r="H20" s="76"/>
      <c r="I20" s="76"/>
      <c r="J20" s="76"/>
      <c r="K20" s="76"/>
      <c r="L20" s="76"/>
      <c r="N20" s="2684"/>
      <c r="O20" s="30" t="s">
        <v>215</v>
      </c>
      <c r="P20" s="81"/>
      <c r="Q20" s="77"/>
    </row>
    <row r="21" spans="3:21" ht="14.15" customHeight="1" thickBot="1">
      <c r="C21" s="2687" t="s">
        <v>1387</v>
      </c>
      <c r="D21" s="712"/>
      <c r="E21" s="80">
        <f>'Datos de Actividad'!AA53</f>
        <v>81500.309587283686</v>
      </c>
      <c r="F21" s="824">
        <v>124</v>
      </c>
      <c r="G21" s="824">
        <v>1.27</v>
      </c>
      <c r="H21" s="20">
        <v>0.06</v>
      </c>
      <c r="I21" s="20">
        <v>1.22</v>
      </c>
      <c r="J21" s="2519">
        <f>J18</f>
        <v>5.3806392306077104E-3</v>
      </c>
      <c r="K21" s="20">
        <v>0.21</v>
      </c>
      <c r="L21" s="638">
        <f>(1+J21*K21)^0.59</f>
        <v>1.0006665068595462</v>
      </c>
      <c r="N21" s="2687" t="s">
        <v>1387</v>
      </c>
      <c r="O21" s="79"/>
      <c r="P21" s="72">
        <f>G21*H21*I21*L21</f>
        <v>9.3025961143690855E-2</v>
      </c>
      <c r="Q21" s="189">
        <f>(E21)*F21*P21*(10^-6)</f>
        <v>0.94012393447531306</v>
      </c>
    </row>
    <row r="22" spans="3:21" ht="14.5" thickBot="1">
      <c r="C22" s="2683"/>
      <c r="D22" s="21"/>
      <c r="E22" s="21"/>
      <c r="F22" s="21"/>
      <c r="G22" s="21"/>
      <c r="H22" s="21"/>
      <c r="I22" s="21"/>
      <c r="J22" s="21"/>
      <c r="K22" s="21"/>
      <c r="L22" s="21"/>
      <c r="N22" s="2683"/>
      <c r="O22" s="79"/>
      <c r="P22" s="78"/>
      <c r="Q22" s="77"/>
    </row>
    <row r="23" spans="3:21" ht="14.5" thickBot="1">
      <c r="C23" s="2684"/>
      <c r="D23" s="30" t="s">
        <v>215</v>
      </c>
      <c r="E23" s="30"/>
      <c r="F23" s="30"/>
      <c r="G23" s="30"/>
      <c r="H23" s="30"/>
      <c r="I23" s="30"/>
      <c r="J23" s="30"/>
      <c r="K23" s="30"/>
      <c r="L23" s="30"/>
      <c r="N23" s="2684"/>
      <c r="O23" s="30" t="s">
        <v>215</v>
      </c>
      <c r="P23" s="68"/>
      <c r="Q23" s="77"/>
    </row>
    <row r="24" spans="3:21" ht="14.5" thickBot="1">
      <c r="C24" s="2603" t="s">
        <v>46</v>
      </c>
      <c r="D24" s="2697"/>
      <c r="E24" s="710">
        <f>E15+E18+E21</f>
        <v>301852.99847142107</v>
      </c>
      <c r="F24" s="68"/>
      <c r="G24" s="68"/>
      <c r="H24" s="68"/>
      <c r="I24" s="68"/>
      <c r="J24" s="68"/>
      <c r="K24" s="68"/>
      <c r="L24" s="68"/>
      <c r="N24" s="2603" t="s">
        <v>46</v>
      </c>
      <c r="O24" s="2697"/>
      <c r="P24" s="68"/>
      <c r="Q24" s="190">
        <f>SUM(Q15:Q23)</f>
        <v>37.734055555402222</v>
      </c>
    </row>
    <row r="25" spans="3:21" ht="32" customHeight="1" thickBot="1">
      <c r="C25" s="2599" t="s">
        <v>475</v>
      </c>
      <c r="D25" s="2600"/>
      <c r="E25" s="2600"/>
      <c r="F25" s="2600"/>
      <c r="G25" s="2600"/>
      <c r="H25" s="2600"/>
      <c r="I25" s="2600"/>
      <c r="J25" s="2600"/>
      <c r="K25" s="2600"/>
      <c r="L25" s="2600"/>
      <c r="N25" s="2688" t="s">
        <v>479</v>
      </c>
      <c r="O25" s="2689"/>
      <c r="P25" s="2689"/>
      <c r="Q25" s="2690"/>
    </row>
    <row r="26" spans="3:21">
      <c r="N26" s="2691"/>
      <c r="O26" s="2692"/>
      <c r="P26" s="2692"/>
      <c r="Q26" s="2693"/>
    </row>
    <row r="27" spans="3:21" ht="43.5" customHeight="1" thickBot="1">
      <c r="C27" s="2498"/>
      <c r="D27" s="2498"/>
      <c r="F27" s="2498"/>
      <c r="G27" s="2498"/>
      <c r="H27" s="2499"/>
      <c r="I27" s="2498"/>
      <c r="J27" s="2498"/>
      <c r="K27" s="2498"/>
      <c r="L27" s="2498"/>
      <c r="N27" s="2694"/>
      <c r="O27" s="2695"/>
      <c r="P27" s="2695"/>
      <c r="Q27" s="2696"/>
    </row>
    <row r="28" spans="3:21" ht="23.15" customHeight="1" thickBot="1"/>
    <row r="29" spans="3:21" ht="26.5" customHeight="1">
      <c r="C29" s="770" t="s">
        <v>1102</v>
      </c>
      <c r="D29" s="299"/>
      <c r="E29" s="299"/>
      <c r="F29" s="299"/>
      <c r="G29" s="299"/>
      <c r="H29" s="299"/>
      <c r="I29" s="300"/>
      <c r="J29" s="845"/>
      <c r="K29" s="845"/>
      <c r="N29" s="849"/>
      <c r="O29" s="368"/>
      <c r="P29" s="368"/>
      <c r="Q29" s="368"/>
      <c r="R29" s="368"/>
      <c r="S29" s="845"/>
      <c r="T29" s="41"/>
    </row>
    <row r="30" spans="3:21">
      <c r="C30" s="301" t="s">
        <v>433</v>
      </c>
      <c r="D30" s="302"/>
      <c r="E30" s="302" t="s">
        <v>308</v>
      </c>
      <c r="F30" s="302" t="s">
        <v>3</v>
      </c>
      <c r="G30" s="302" t="s">
        <v>306</v>
      </c>
      <c r="H30" s="302"/>
      <c r="I30" s="303"/>
      <c r="J30" s="369"/>
      <c r="K30" s="369"/>
      <c r="N30" s="369"/>
      <c r="O30" s="369"/>
      <c r="P30" s="369"/>
      <c r="Q30" s="369"/>
      <c r="R30" s="369"/>
      <c r="S30" s="369"/>
      <c r="T30" s="369"/>
      <c r="U30" s="41"/>
    </row>
    <row r="31" spans="3:21" ht="19.5" customHeight="1">
      <c r="C31" s="310" t="s">
        <v>480</v>
      </c>
      <c r="D31" s="307"/>
      <c r="E31" s="307" t="s">
        <v>1104</v>
      </c>
      <c r="F31" s="307" t="s">
        <v>2395</v>
      </c>
      <c r="G31" s="308" t="s">
        <v>2237</v>
      </c>
      <c r="H31" s="308"/>
      <c r="I31" s="311"/>
      <c r="J31" s="307" t="s">
        <v>43</v>
      </c>
      <c r="K31" s="307"/>
      <c r="L31" s="307" t="s">
        <v>43</v>
      </c>
      <c r="N31" s="297"/>
      <c r="O31" s="297"/>
      <c r="P31" s="297"/>
      <c r="Q31" s="297"/>
      <c r="R31" s="297"/>
      <c r="S31" s="297"/>
      <c r="T31" s="298"/>
      <c r="U31" s="41" t="s">
        <v>43</v>
      </c>
    </row>
    <row r="32" spans="3:21">
      <c r="C32" s="310" t="s">
        <v>481</v>
      </c>
      <c r="D32" s="307"/>
      <c r="E32" s="307" t="s">
        <v>1104</v>
      </c>
      <c r="F32" s="307" t="s">
        <v>2395</v>
      </c>
      <c r="G32" s="308" t="s">
        <v>2237</v>
      </c>
      <c r="H32" s="307"/>
      <c r="I32" s="312"/>
      <c r="J32" s="307" t="s">
        <v>43</v>
      </c>
      <c r="K32" s="307"/>
      <c r="L32" s="307" t="s">
        <v>43</v>
      </c>
      <c r="N32" s="297"/>
      <c r="O32" s="297"/>
      <c r="P32" s="297"/>
      <c r="Q32" s="297"/>
      <c r="R32" s="297"/>
      <c r="S32" s="297"/>
      <c r="T32" s="298"/>
      <c r="U32" s="41" t="s">
        <v>43</v>
      </c>
    </row>
    <row r="33" spans="3:21">
      <c r="C33" s="310" t="s">
        <v>482</v>
      </c>
      <c r="D33" s="307"/>
      <c r="E33" s="307" t="s">
        <v>1104</v>
      </c>
      <c r="F33" s="307" t="s">
        <v>2395</v>
      </c>
      <c r="G33" s="308" t="s">
        <v>2237</v>
      </c>
      <c r="H33" s="307"/>
      <c r="I33" s="312"/>
      <c r="J33" s="307" t="s">
        <v>43</v>
      </c>
      <c r="K33" s="307"/>
      <c r="L33" t="s">
        <v>43</v>
      </c>
      <c r="N33" s="297"/>
      <c r="O33" s="297"/>
      <c r="P33" s="297"/>
      <c r="Q33" s="297"/>
      <c r="R33" s="297"/>
      <c r="S33" s="297"/>
      <c r="T33" s="298"/>
      <c r="U33" s="41" t="s">
        <v>43</v>
      </c>
    </row>
    <row r="34" spans="3:21">
      <c r="C34" s="310" t="s">
        <v>469</v>
      </c>
      <c r="D34" s="307"/>
      <c r="E34" s="307" t="s">
        <v>455</v>
      </c>
      <c r="F34" s="307" t="s">
        <v>1388</v>
      </c>
      <c r="G34" s="307" t="s">
        <v>2236</v>
      </c>
      <c r="I34" s="313"/>
      <c r="J34" s="307" t="s">
        <v>43</v>
      </c>
      <c r="L34" t="s">
        <v>43</v>
      </c>
      <c r="N34" s="297"/>
      <c r="O34" s="297"/>
      <c r="P34" s="297"/>
      <c r="U34" s="41" t="s">
        <v>43</v>
      </c>
    </row>
    <row r="35" spans="3:21">
      <c r="C35" s="310" t="s">
        <v>470</v>
      </c>
      <c r="D35" s="307"/>
      <c r="E35" s="307" t="s">
        <v>455</v>
      </c>
      <c r="F35" s="307" t="s">
        <v>1388</v>
      </c>
      <c r="I35" s="313"/>
      <c r="J35" s="307" t="s">
        <v>43</v>
      </c>
      <c r="L35" t="s">
        <v>43</v>
      </c>
      <c r="N35" s="297"/>
      <c r="O35" s="297"/>
      <c r="P35" s="297"/>
      <c r="U35" s="41" t="s">
        <v>43</v>
      </c>
    </row>
    <row r="36" spans="3:21">
      <c r="C36" s="310" t="s">
        <v>471</v>
      </c>
      <c r="D36" s="310"/>
      <c r="E36" s="307" t="s">
        <v>455</v>
      </c>
      <c r="F36" s="307" t="s">
        <v>1390</v>
      </c>
      <c r="G36" s="307" t="s">
        <v>1391</v>
      </c>
      <c r="H36" s="307"/>
      <c r="I36" s="315"/>
      <c r="J36" s="307" t="s">
        <v>43</v>
      </c>
      <c r="K36" s="307"/>
      <c r="L36" t="s">
        <v>43</v>
      </c>
    </row>
    <row r="37" spans="3:21">
      <c r="C37" s="310" t="s">
        <v>472</v>
      </c>
      <c r="D37" s="310"/>
      <c r="E37" s="307" t="s">
        <v>455</v>
      </c>
      <c r="F37" s="307" t="s">
        <v>1392</v>
      </c>
      <c r="G37" s="307" t="s">
        <v>2238</v>
      </c>
      <c r="H37" s="307"/>
      <c r="I37" s="315"/>
      <c r="J37" s="307" t="s">
        <v>43</v>
      </c>
      <c r="K37" s="307"/>
      <c r="L37" t="s">
        <v>43</v>
      </c>
    </row>
    <row r="38" spans="3:21">
      <c r="C38" s="310" t="s">
        <v>1393</v>
      </c>
      <c r="D38" s="307"/>
      <c r="E38" s="307" t="s">
        <v>455</v>
      </c>
      <c r="F38" s="307" t="s">
        <v>2239</v>
      </c>
      <c r="G38" s="307" t="s">
        <v>1397</v>
      </c>
      <c r="H38" s="307"/>
      <c r="I38" s="312"/>
      <c r="J38" s="307" t="s">
        <v>43</v>
      </c>
      <c r="K38" s="307"/>
      <c r="L38" t="s">
        <v>43</v>
      </c>
    </row>
    <row r="39" spans="3:21">
      <c r="C39" s="310" t="s">
        <v>1394</v>
      </c>
      <c r="D39" s="307"/>
      <c r="E39" s="307" t="s">
        <v>455</v>
      </c>
      <c r="F39" s="307" t="s">
        <v>1395</v>
      </c>
      <c r="G39" s="307" t="s">
        <v>1396</v>
      </c>
      <c r="H39" s="307"/>
      <c r="I39" s="312"/>
      <c r="J39" s="307" t="s">
        <v>43</v>
      </c>
      <c r="K39" s="307"/>
      <c r="L39" t="s">
        <v>43</v>
      </c>
    </row>
    <row r="40" spans="3:21" ht="14.5" thickBot="1">
      <c r="C40" s="314"/>
      <c r="D40" s="305"/>
      <c r="E40" s="305"/>
      <c r="F40" s="305"/>
      <c r="G40" s="305"/>
      <c r="H40" s="305"/>
      <c r="I40" s="306"/>
      <c r="L40" t="s">
        <v>43</v>
      </c>
    </row>
    <row r="42" spans="3:21" ht="14.5" customHeight="1"/>
    <row r="46" spans="3:21">
      <c r="D46" s="618"/>
      <c r="H46" s="709"/>
    </row>
    <row r="51" spans="17:21">
      <c r="U51" s="641" t="s">
        <v>1008</v>
      </c>
    </row>
    <row r="53" spans="17:21">
      <c r="Q53" s="778">
        <v>49416</v>
      </c>
      <c r="R53" s="778">
        <v>103716</v>
      </c>
      <c r="S53" s="778">
        <v>138035</v>
      </c>
      <c r="T53" s="778">
        <f>SUM(Q53:S53)</f>
        <v>291167</v>
      </c>
      <c r="U53" s="778"/>
    </row>
    <row r="54" spans="17:21" ht="42" customHeight="1">
      <c r="Q54" s="778"/>
      <c r="R54" s="779">
        <f>Q53/T53</f>
        <v>0.1697170352409442</v>
      </c>
      <c r="S54" s="778"/>
      <c r="T54" s="778"/>
      <c r="U54" s="778"/>
    </row>
    <row r="55" spans="17:21" ht="22" customHeight="1"/>
    <row r="68" spans="15:15">
      <c r="O68" s="737" t="s">
        <v>1022</v>
      </c>
    </row>
    <row r="69" spans="15:15">
      <c r="O69" s="737" t="s">
        <v>1023</v>
      </c>
    </row>
    <row r="70" spans="15:15">
      <c r="O70" s="737" t="s">
        <v>1024</v>
      </c>
    </row>
  </sheetData>
  <mergeCells count="31">
    <mergeCell ref="C24:D24"/>
    <mergeCell ref="C25:L25"/>
    <mergeCell ref="C15:C17"/>
    <mergeCell ref="C18:C20"/>
    <mergeCell ref="C21:C23"/>
    <mergeCell ref="N18:N20"/>
    <mergeCell ref="F12:F13"/>
    <mergeCell ref="G12:G13"/>
    <mergeCell ref="N10:N14"/>
    <mergeCell ref="N25:Q27"/>
    <mergeCell ref="N24:O24"/>
    <mergeCell ref="N21:N23"/>
    <mergeCell ref="O10:O14"/>
    <mergeCell ref="C3:H3"/>
    <mergeCell ref="C10:C14"/>
    <mergeCell ref="D10:D14"/>
    <mergeCell ref="E12:E13"/>
    <mergeCell ref="N15:N17"/>
    <mergeCell ref="D7:L7"/>
    <mergeCell ref="D8:L8"/>
    <mergeCell ref="E9:F9"/>
    <mergeCell ref="G9:I9"/>
    <mergeCell ref="J9:K9"/>
    <mergeCell ref="H12:H13"/>
    <mergeCell ref="I12:I13"/>
    <mergeCell ref="O5:Q5"/>
    <mergeCell ref="O6:Q6"/>
    <mergeCell ref="O7:Q7"/>
    <mergeCell ref="O8:Q8"/>
    <mergeCell ref="D5:L5"/>
    <mergeCell ref="D6:L6"/>
  </mergeCells>
  <phoneticPr fontId="59" type="noConversion"/>
  <hyperlinks>
    <hyperlink ref="I3" location="INDICE!A1" display="INDICE" xr:uid="{00000000-0004-0000-0C00-000000000000}"/>
    <hyperlink ref="U51" r:id="rId1" xr:uid="{00000000-0004-0000-0C00-000001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2:U39"/>
  <sheetViews>
    <sheetView showGridLines="0" topLeftCell="H3" zoomScale="70" zoomScaleNormal="70" workbookViewId="0">
      <selection activeCell="N15" sqref="N15"/>
    </sheetView>
  </sheetViews>
  <sheetFormatPr defaultColWidth="10.6640625" defaultRowHeight="14"/>
  <cols>
    <col min="2" max="2" width="4.08203125" customWidth="1"/>
    <col min="3" max="3" width="12.5" style="41" customWidth="1"/>
    <col min="4" max="4" width="23.08203125" style="41" customWidth="1"/>
    <col min="5" max="5" width="21.83203125" style="41" customWidth="1"/>
    <col min="6" max="6" width="13.08203125" style="41" customWidth="1"/>
    <col min="7" max="8" width="10.58203125" style="41" customWidth="1"/>
    <col min="9" max="9" width="16.83203125" style="41" customWidth="1"/>
    <col min="10" max="10" width="11.08203125" customWidth="1"/>
    <col min="11" max="11" width="4.5" customWidth="1"/>
    <col min="12" max="12" width="15.25" customWidth="1"/>
    <col min="13" max="13" width="10.08203125" customWidth="1"/>
    <col min="17" max="17" width="12" bestFit="1" customWidth="1"/>
  </cols>
  <sheetData>
    <row r="2" spans="3:20" ht="15.5">
      <c r="C2" s="2661" t="s">
        <v>507</v>
      </c>
      <c r="D2" s="2661"/>
      <c r="E2" s="2661"/>
      <c r="F2" s="2661"/>
      <c r="G2" s="2661"/>
      <c r="H2" s="2661"/>
      <c r="I2" s="643" t="s">
        <v>898</v>
      </c>
    </row>
    <row r="3" spans="3:20" ht="14.5" thickBot="1"/>
    <row r="4" spans="3:20" ht="14.5" thickBot="1">
      <c r="C4" s="2729" t="s">
        <v>82</v>
      </c>
      <c r="D4" s="2730"/>
      <c r="E4" s="2731" t="s">
        <v>315</v>
      </c>
      <c r="F4" s="2732"/>
      <c r="G4" s="2732"/>
      <c r="H4" s="2732"/>
      <c r="I4" s="2733"/>
      <c r="L4" s="2662" t="s">
        <v>82</v>
      </c>
      <c r="M4" s="2664"/>
      <c r="N4" s="2665" t="s">
        <v>315</v>
      </c>
      <c r="O4" s="2666"/>
      <c r="P4" s="2666"/>
      <c r="Q4" s="2666"/>
      <c r="R4" s="2666"/>
      <c r="S4" s="2666"/>
      <c r="T4" s="2667"/>
    </row>
    <row r="5" spans="3:20" ht="14.5" thickBot="1">
      <c r="C5" s="2729" t="s">
        <v>443</v>
      </c>
      <c r="D5" s="2730"/>
      <c r="E5" s="2731" t="s">
        <v>516</v>
      </c>
      <c r="F5" s="2732"/>
      <c r="G5" s="2732"/>
      <c r="H5" s="2732"/>
      <c r="I5" s="2733"/>
      <c r="L5" s="2662" t="s">
        <v>443</v>
      </c>
      <c r="M5" s="2664"/>
      <c r="N5" s="2665" t="s">
        <v>534</v>
      </c>
      <c r="O5" s="2666"/>
      <c r="P5" s="2666"/>
      <c r="Q5" s="2666"/>
      <c r="R5" s="2666"/>
      <c r="S5" s="2666"/>
      <c r="T5" s="2667"/>
    </row>
    <row r="6" spans="3:20" ht="14.5" thickBot="1">
      <c r="C6" s="2729" t="s">
        <v>427</v>
      </c>
      <c r="D6" s="2730"/>
      <c r="E6" s="2731" t="s">
        <v>129</v>
      </c>
      <c r="F6" s="2732"/>
      <c r="G6" s="2732"/>
      <c r="H6" s="2732"/>
      <c r="I6" s="2733"/>
      <c r="L6" s="2662" t="s">
        <v>427</v>
      </c>
      <c r="M6" s="2664"/>
      <c r="N6" s="2665" t="s">
        <v>129</v>
      </c>
      <c r="O6" s="2666"/>
      <c r="P6" s="2666"/>
      <c r="Q6" s="2666"/>
      <c r="R6" s="2666"/>
      <c r="S6" s="2666"/>
      <c r="T6" s="2667"/>
    </row>
    <row r="7" spans="3:20" ht="14.5" thickBot="1">
      <c r="C7" s="2729" t="s">
        <v>461</v>
      </c>
      <c r="D7" s="2730"/>
      <c r="E7" s="2731" t="s">
        <v>473</v>
      </c>
      <c r="F7" s="2732"/>
      <c r="G7" s="2732"/>
      <c r="H7" s="2732"/>
      <c r="I7" s="2733"/>
      <c r="L7" s="2662" t="s">
        <v>461</v>
      </c>
      <c r="M7" s="2664"/>
      <c r="N7" s="2665" t="s">
        <v>460</v>
      </c>
      <c r="O7" s="2666"/>
      <c r="P7" s="2666"/>
      <c r="Q7" s="2666"/>
      <c r="R7" s="2666"/>
      <c r="S7" s="2666"/>
      <c r="T7" s="2667"/>
    </row>
    <row r="8" spans="3:20" ht="14.5" thickBot="1">
      <c r="C8" s="2734" t="s">
        <v>429</v>
      </c>
      <c r="D8" s="2735"/>
      <c r="E8" s="2736" t="s">
        <v>888</v>
      </c>
      <c r="F8" s="2737"/>
      <c r="G8" s="2737"/>
      <c r="H8" s="2737"/>
      <c r="I8" s="2738"/>
      <c r="L8" s="2704" t="s">
        <v>429</v>
      </c>
      <c r="M8" s="2705"/>
      <c r="N8" s="2608" t="s">
        <v>888</v>
      </c>
      <c r="O8" s="2622"/>
      <c r="P8" s="2622"/>
      <c r="Q8" s="2622"/>
      <c r="R8" s="2622"/>
      <c r="S8" s="2622"/>
      <c r="T8" s="2609"/>
    </row>
    <row r="9" spans="3:20" ht="49.5" customHeight="1" thickBot="1">
      <c r="C9" s="2706" t="s">
        <v>517</v>
      </c>
      <c r="D9" s="2739"/>
      <c r="E9" s="2742" t="s">
        <v>518</v>
      </c>
      <c r="F9" s="2743"/>
      <c r="G9" s="2742" t="s">
        <v>519</v>
      </c>
      <c r="H9" s="2743"/>
      <c r="I9" s="34" t="s">
        <v>520</v>
      </c>
      <c r="L9" s="2706" t="s">
        <v>535</v>
      </c>
      <c r="M9" s="2707"/>
      <c r="N9" s="34" t="s">
        <v>536</v>
      </c>
      <c r="O9" s="34" t="s">
        <v>537</v>
      </c>
      <c r="P9" s="34" t="s">
        <v>538</v>
      </c>
      <c r="Q9" s="34" t="s">
        <v>539</v>
      </c>
      <c r="R9" s="34" t="s">
        <v>540</v>
      </c>
      <c r="S9" s="34" t="s">
        <v>541</v>
      </c>
      <c r="T9" s="34" t="s">
        <v>1749</v>
      </c>
    </row>
    <row r="10" spans="3:20" ht="14.5">
      <c r="C10" s="2708"/>
      <c r="D10" s="2740"/>
      <c r="E10" s="2744" t="s">
        <v>128</v>
      </c>
      <c r="F10" s="2739"/>
      <c r="G10" s="2744" t="s">
        <v>131</v>
      </c>
      <c r="H10" s="2747"/>
      <c r="I10" s="2750" t="s">
        <v>132</v>
      </c>
      <c r="L10" s="2708"/>
      <c r="M10" s="2709"/>
      <c r="N10" s="2712" t="s">
        <v>137</v>
      </c>
      <c r="O10" s="50" t="s">
        <v>138</v>
      </c>
      <c r="P10" s="2712" t="s">
        <v>132</v>
      </c>
      <c r="Q10" s="2712" t="s">
        <v>128</v>
      </c>
      <c r="R10" s="50" t="s">
        <v>139</v>
      </c>
      <c r="S10" s="2712" t="s">
        <v>140</v>
      </c>
      <c r="T10" s="50" t="s">
        <v>138</v>
      </c>
    </row>
    <row r="11" spans="3:20" ht="17.149999999999999" customHeight="1" thickBot="1">
      <c r="C11" s="2708"/>
      <c r="D11" s="2740"/>
      <c r="E11" s="2745"/>
      <c r="F11" s="2746"/>
      <c r="G11" s="2748"/>
      <c r="H11" s="2749"/>
      <c r="I11" s="2751"/>
      <c r="L11" s="2708"/>
      <c r="M11" s="2709"/>
      <c r="N11" s="2713"/>
      <c r="O11" s="39" t="s">
        <v>141</v>
      </c>
      <c r="P11" s="2713"/>
      <c r="Q11" s="2713"/>
      <c r="R11" s="39" t="s">
        <v>142</v>
      </c>
      <c r="S11" s="2713"/>
      <c r="T11" s="39" t="s">
        <v>143</v>
      </c>
    </row>
    <row r="12" spans="3:20" ht="37.5" customHeight="1" thickBot="1">
      <c r="C12" s="2708"/>
      <c r="D12" s="2740"/>
      <c r="E12" s="2720"/>
      <c r="F12" s="2721"/>
      <c r="G12" s="2720" t="s">
        <v>521</v>
      </c>
      <c r="H12" s="2721"/>
      <c r="I12" s="35" t="s">
        <v>133</v>
      </c>
      <c r="L12" s="2708"/>
      <c r="M12" s="2709"/>
      <c r="N12" s="39"/>
      <c r="O12" s="39" t="s">
        <v>521</v>
      </c>
      <c r="P12" s="39" t="s">
        <v>144</v>
      </c>
      <c r="Q12" s="39"/>
      <c r="R12" s="39" t="s">
        <v>130</v>
      </c>
      <c r="S12" s="39" t="s">
        <v>145</v>
      </c>
      <c r="T12" s="39" t="s">
        <v>146</v>
      </c>
    </row>
    <row r="13" spans="3:20" ht="15" customHeight="1" thickBot="1">
      <c r="C13" s="2710"/>
      <c r="D13" s="2741"/>
      <c r="E13" s="2722" t="s">
        <v>8</v>
      </c>
      <c r="F13" s="2723"/>
      <c r="G13" s="2722" t="s">
        <v>106</v>
      </c>
      <c r="H13" s="2723"/>
      <c r="I13" s="44" t="s">
        <v>134</v>
      </c>
      <c r="L13" s="2710"/>
      <c r="M13" s="2711"/>
      <c r="N13" s="37" t="s">
        <v>147</v>
      </c>
      <c r="O13" s="37" t="s">
        <v>148</v>
      </c>
      <c r="P13" s="44" t="s">
        <v>149</v>
      </c>
      <c r="Q13" s="37" t="s">
        <v>150</v>
      </c>
      <c r="R13" s="37" t="s">
        <v>151</v>
      </c>
      <c r="S13" s="37" t="s">
        <v>152</v>
      </c>
      <c r="T13" s="37" t="s">
        <v>153</v>
      </c>
    </row>
    <row r="14" spans="3:20" ht="18.649999999999999" customHeight="1" thickTop="1" thickBot="1">
      <c r="C14" s="2726" t="s">
        <v>522</v>
      </c>
      <c r="D14" s="45" t="s">
        <v>524</v>
      </c>
      <c r="E14" s="46" t="s">
        <v>525</v>
      </c>
      <c r="F14" s="115">
        <f>'Datos de Actividad'!AB164-'Datos de Actividad'!AB168</f>
        <v>186599040.74118376</v>
      </c>
      <c r="G14" s="2714" t="s">
        <v>135</v>
      </c>
      <c r="H14" s="39">
        <v>0.01</v>
      </c>
      <c r="I14" s="49">
        <f>F14*H14</f>
        <v>1865990.4074118377</v>
      </c>
      <c r="L14" s="2714" t="s">
        <v>542</v>
      </c>
      <c r="M14" s="35" t="s">
        <v>154</v>
      </c>
      <c r="N14" s="347"/>
      <c r="O14" s="113"/>
      <c r="P14" s="114"/>
      <c r="Q14" s="40"/>
      <c r="R14" s="40"/>
      <c r="S14" s="40"/>
      <c r="T14" s="40"/>
    </row>
    <row r="15" spans="3:20" ht="25.5" customHeight="1" thickBot="1">
      <c r="C15" s="2727"/>
      <c r="D15" s="45" t="s">
        <v>1401</v>
      </c>
      <c r="E15" s="46" t="s">
        <v>1400</v>
      </c>
      <c r="F15" s="115">
        <f>'Datos de Actividad'!AB165-'Datos de Actividad'!AB169</f>
        <v>31728403.052379724</v>
      </c>
      <c r="G15" s="2715"/>
      <c r="H15" s="39">
        <v>0.01</v>
      </c>
      <c r="I15" s="49">
        <f>F15*H15</f>
        <v>317284.03052379726</v>
      </c>
      <c r="L15" s="2715"/>
      <c r="M15" s="35" t="s">
        <v>155</v>
      </c>
      <c r="N15" s="2520">
        <f>'Datos de Actividad'!AA173</f>
        <v>1650.1759000000002</v>
      </c>
      <c r="O15" s="39">
        <v>16</v>
      </c>
      <c r="P15" s="2500">
        <f>N15*O15</f>
        <v>26402.814400000003</v>
      </c>
      <c r="Q15" s="40"/>
      <c r="R15" s="40"/>
      <c r="S15" s="40"/>
      <c r="T15" s="40"/>
    </row>
    <row r="16" spans="3:20" ht="18" customHeight="1" thickBot="1">
      <c r="C16" s="2727"/>
      <c r="D16" s="45" t="s">
        <v>526</v>
      </c>
      <c r="E16" s="46" t="s">
        <v>527</v>
      </c>
      <c r="F16" s="115">
        <f>'Anexo 3C4'!U19-'Anexo 3C4'!U11</f>
        <v>91824429.337893069</v>
      </c>
      <c r="G16" s="2715"/>
      <c r="H16" s="39">
        <v>0.01</v>
      </c>
      <c r="I16" s="49">
        <f>F16*H16</f>
        <v>918244.29337893066</v>
      </c>
      <c r="L16" s="2715"/>
      <c r="M16" s="35" t="s">
        <v>156</v>
      </c>
      <c r="N16" s="39"/>
      <c r="O16" s="51"/>
      <c r="P16" s="38"/>
      <c r="Q16" s="40"/>
      <c r="R16" s="40"/>
      <c r="S16" s="40"/>
      <c r="T16" s="40"/>
    </row>
    <row r="17" spans="3:21" ht="40" customHeight="1" thickBot="1">
      <c r="C17" s="2728"/>
      <c r="D17" s="45" t="s">
        <v>528</v>
      </c>
      <c r="E17" s="46" t="s">
        <v>529</v>
      </c>
      <c r="F17" s="115"/>
      <c r="G17" s="2716"/>
      <c r="H17" s="39"/>
      <c r="I17" s="39"/>
      <c r="L17" s="2715"/>
      <c r="M17" s="35" t="s">
        <v>157</v>
      </c>
      <c r="N17" s="39"/>
      <c r="O17" s="51"/>
      <c r="P17" s="38"/>
      <c r="Q17" s="40"/>
      <c r="R17" s="40"/>
      <c r="S17" s="40"/>
      <c r="T17" s="40"/>
    </row>
    <row r="18" spans="3:21" ht="19" customHeight="1" thickTop="1" thickBot="1">
      <c r="C18" s="2726" t="s">
        <v>523</v>
      </c>
      <c r="D18" s="45" t="s">
        <v>524</v>
      </c>
      <c r="E18" s="46" t="s">
        <v>530</v>
      </c>
      <c r="F18" s="115">
        <f>'Datos de Actividad'!AB168</f>
        <v>10844161.258816242</v>
      </c>
      <c r="G18" s="2719" t="s">
        <v>136</v>
      </c>
      <c r="H18" s="39">
        <v>4.0000000000000001E-3</v>
      </c>
      <c r="I18" s="49">
        <f>F18*H18</f>
        <v>43376.64503526497</v>
      </c>
      <c r="L18" s="2716"/>
      <c r="M18" s="35" t="s">
        <v>158</v>
      </c>
      <c r="N18" s="39"/>
      <c r="O18" s="51"/>
      <c r="P18" s="38"/>
      <c r="Q18" s="40"/>
      <c r="R18" s="40"/>
      <c r="S18" s="40"/>
      <c r="T18" s="40"/>
    </row>
    <row r="19" spans="3:21" ht="27" customHeight="1" thickBot="1">
      <c r="C19" s="2727"/>
      <c r="D19" s="45" t="s">
        <v>1401</v>
      </c>
      <c r="E19" s="46" t="s">
        <v>1400</v>
      </c>
      <c r="F19" s="115">
        <f>'Datos de Actividad'!AB169</f>
        <v>170359.29965387261</v>
      </c>
      <c r="G19" s="2715"/>
      <c r="H19" s="39">
        <v>3.0000000000000001E-3</v>
      </c>
      <c r="I19" s="49">
        <f>F19*H19</f>
        <v>511.07789896161785</v>
      </c>
      <c r="L19" s="2719" t="s">
        <v>543</v>
      </c>
      <c r="M19" s="35" t="s">
        <v>159</v>
      </c>
      <c r="N19" s="40"/>
      <c r="O19" s="40"/>
      <c r="P19" s="40"/>
      <c r="Q19" s="52">
        <f>'3B Gestión Estiércol N2O Dir'!W40</f>
        <v>128607532.85425356</v>
      </c>
      <c r="R19" s="39">
        <v>4.0000000000000001E-3</v>
      </c>
      <c r="S19" s="116">
        <f>Q19*R19</f>
        <v>514430.13141701423</v>
      </c>
      <c r="T19" s="117"/>
    </row>
    <row r="20" spans="3:21" ht="19.5" customHeight="1" thickBot="1">
      <c r="C20" s="2727"/>
      <c r="D20" s="45" t="s">
        <v>526</v>
      </c>
      <c r="E20" s="46" t="s">
        <v>532</v>
      </c>
      <c r="F20" s="115">
        <f>'Anexo 3C4'!U11</f>
        <v>14986137.063115023</v>
      </c>
      <c r="G20" s="2715"/>
      <c r="H20" s="39">
        <v>3.0000000000000001E-3</v>
      </c>
      <c r="I20" s="49">
        <f>F20*H20</f>
        <v>44958.411189345068</v>
      </c>
      <c r="L20" s="2716"/>
      <c r="M20" s="35" t="s">
        <v>160</v>
      </c>
      <c r="N20" s="40"/>
      <c r="O20" s="40"/>
      <c r="P20" s="40"/>
      <c r="Q20" s="52">
        <f>'3B Gestión Estiércol N2O Dir'!W41</f>
        <v>12745142.577159494</v>
      </c>
      <c r="R20" s="39">
        <v>3.0000000000000001E-3</v>
      </c>
      <c r="S20" s="116">
        <f>Q20*R20</f>
        <v>38235.427731478485</v>
      </c>
      <c r="T20" s="117"/>
    </row>
    <row r="21" spans="3:21" ht="42.65" customHeight="1" thickBot="1">
      <c r="C21" s="2728"/>
      <c r="D21" s="45" t="s">
        <v>528</v>
      </c>
      <c r="E21" s="46" t="s">
        <v>533</v>
      </c>
      <c r="F21" s="115"/>
      <c r="G21" s="2716"/>
      <c r="H21" s="39"/>
      <c r="I21" s="39"/>
      <c r="L21" s="2724" t="s">
        <v>46</v>
      </c>
      <c r="M21" s="2725"/>
      <c r="N21" s="40"/>
      <c r="O21" s="40"/>
      <c r="P21" s="116">
        <f>SUM(P14:P20)</f>
        <v>26402.814400000003</v>
      </c>
      <c r="Q21" s="40"/>
      <c r="R21" s="40"/>
      <c r="S21" s="116">
        <f>SUM(S19:S20)</f>
        <v>552665.55914849276</v>
      </c>
      <c r="T21" s="116">
        <f>SUM(P21:S21)</f>
        <v>579068.37354849279</v>
      </c>
      <c r="U21" s="618"/>
    </row>
    <row r="22" spans="3:21" ht="14.5" thickBot="1">
      <c r="C22" s="2717" t="s">
        <v>46</v>
      </c>
      <c r="D22" s="2718"/>
      <c r="E22" s="47"/>
      <c r="F22" s="47"/>
      <c r="G22" s="48"/>
      <c r="H22" s="47"/>
      <c r="I22" s="66">
        <f>SUM(I14:I21)</f>
        <v>3190364.8654381372</v>
      </c>
      <c r="L22" s="316"/>
      <c r="M22" s="317"/>
      <c r="N22" s="318"/>
      <c r="O22" s="318"/>
      <c r="P22" s="319"/>
      <c r="Q22" s="318"/>
      <c r="R22" s="318"/>
      <c r="S22" s="319"/>
      <c r="T22" s="320"/>
    </row>
    <row r="23" spans="3:21" ht="28" customHeight="1">
      <c r="I23" s="41">
        <f>I22*44/28</f>
        <v>5013430.5028313594</v>
      </c>
      <c r="L23" s="2698" t="s">
        <v>544</v>
      </c>
      <c r="M23" s="2699"/>
      <c r="N23" s="2699"/>
      <c r="O23" s="2699"/>
      <c r="P23" s="2699"/>
      <c r="Q23" s="2699"/>
      <c r="R23" s="2699"/>
      <c r="S23" s="2699"/>
      <c r="T23" s="2700"/>
    </row>
    <row r="24" spans="3:21" ht="23.15" customHeight="1" thickBot="1">
      <c r="E24" s="323"/>
      <c r="F24" s="728"/>
      <c r="L24" s="2701" t="s">
        <v>545</v>
      </c>
      <c r="M24" s="2702"/>
      <c r="N24" s="2702"/>
      <c r="O24" s="2702"/>
      <c r="P24" s="2702"/>
      <c r="Q24" s="2702"/>
      <c r="R24" s="2702"/>
      <c r="S24" s="2702"/>
      <c r="T24" s="2703"/>
    </row>
    <row r="25" spans="3:21" ht="23.15" customHeight="1">
      <c r="L25" s="31"/>
      <c r="M25" s="31"/>
      <c r="N25" s="31"/>
      <c r="O25" s="31"/>
      <c r="P25" s="2073">
        <f>(I22+T21)/1000000*(44/28)</f>
        <v>5.9233950898361325</v>
      </c>
      <c r="Q25" s="31"/>
      <c r="R25" s="31"/>
      <c r="S25" s="31"/>
      <c r="T25" s="31"/>
    </row>
    <row r="26" spans="3:21" ht="14.5" thickBot="1"/>
    <row r="27" spans="3:21" ht="17.5">
      <c r="C27" s="770" t="s">
        <v>1103</v>
      </c>
      <c r="D27" s="299"/>
      <c r="E27" s="299"/>
      <c r="F27" s="299"/>
      <c r="G27" s="299"/>
      <c r="H27" s="299"/>
      <c r="I27" s="300"/>
      <c r="L27" s="770" t="s">
        <v>1108</v>
      </c>
      <c r="M27" s="299"/>
      <c r="N27" s="299"/>
      <c r="O27" s="299"/>
      <c r="P27" s="299"/>
      <c r="Q27" s="299"/>
      <c r="R27" s="300"/>
      <c r="S27" s="309"/>
    </row>
    <row r="28" spans="3:21">
      <c r="C28" s="301" t="s">
        <v>433</v>
      </c>
      <c r="D28" s="302"/>
      <c r="E28" s="302" t="s">
        <v>308</v>
      </c>
      <c r="F28" s="302" t="s">
        <v>3</v>
      </c>
      <c r="G28" s="302" t="s">
        <v>306</v>
      </c>
      <c r="H28" s="302"/>
      <c r="I28" s="303"/>
      <c r="L28" s="301" t="s">
        <v>433</v>
      </c>
      <c r="M28" s="302"/>
      <c r="N28" s="302"/>
      <c r="O28" s="302" t="s">
        <v>308</v>
      </c>
      <c r="P28" s="302" t="s">
        <v>3</v>
      </c>
      <c r="Q28" s="302" t="s">
        <v>306</v>
      </c>
      <c r="R28" s="302"/>
      <c r="S28" s="303"/>
    </row>
    <row r="29" spans="3:21">
      <c r="C29" s="362" t="s">
        <v>530</v>
      </c>
      <c r="E29" s="41" t="s">
        <v>1105</v>
      </c>
      <c r="F29" s="41" t="s">
        <v>2396</v>
      </c>
      <c r="G29" s="41" t="s">
        <v>1106</v>
      </c>
      <c r="I29" s="363"/>
      <c r="J29" s="41" t="s">
        <v>43</v>
      </c>
      <c r="L29" s="391" t="s">
        <v>556</v>
      </c>
      <c r="M29" s="392"/>
      <c r="N29" s="392"/>
      <c r="O29" s="392" t="s">
        <v>441</v>
      </c>
      <c r="P29" s="392" t="s">
        <v>557</v>
      </c>
      <c r="Q29" s="392" t="s">
        <v>1109</v>
      </c>
      <c r="R29" s="392"/>
      <c r="S29" s="393"/>
      <c r="T29" t="s">
        <v>43</v>
      </c>
    </row>
    <row r="30" spans="3:21">
      <c r="C30" s="362" t="s">
        <v>531</v>
      </c>
      <c r="E30" s="41" t="s">
        <v>1105</v>
      </c>
      <c r="F30" s="41" t="s">
        <v>2397</v>
      </c>
      <c r="G30" s="41" t="s">
        <v>2240</v>
      </c>
      <c r="I30" s="363"/>
      <c r="J30" s="41" t="s">
        <v>43</v>
      </c>
      <c r="L30" s="391" t="s">
        <v>558</v>
      </c>
      <c r="M30" s="392"/>
      <c r="N30" s="392"/>
      <c r="O30" s="392" t="s">
        <v>457</v>
      </c>
      <c r="P30" s="392" t="s">
        <v>552</v>
      </c>
      <c r="Q30" s="392"/>
      <c r="R30" s="392"/>
      <c r="S30" s="393"/>
      <c r="T30" t="s">
        <v>43</v>
      </c>
    </row>
    <row r="31" spans="3:21" ht="17.5" customHeight="1">
      <c r="C31" s="362" t="s">
        <v>532</v>
      </c>
      <c r="E31" s="41" t="s">
        <v>1105</v>
      </c>
      <c r="F31" s="41" t="s">
        <v>2398</v>
      </c>
      <c r="G31" s="41" t="s">
        <v>1107</v>
      </c>
      <c r="I31" s="363"/>
      <c r="J31" s="41" t="s">
        <v>43</v>
      </c>
      <c r="L31" s="391" t="s">
        <v>559</v>
      </c>
      <c r="M31" s="392"/>
      <c r="N31" s="392"/>
      <c r="O31" s="392" t="s">
        <v>456</v>
      </c>
      <c r="P31" s="392" t="s">
        <v>561</v>
      </c>
      <c r="Q31" s="392"/>
      <c r="R31" s="392"/>
      <c r="S31" s="393"/>
      <c r="T31" t="s">
        <v>43</v>
      </c>
    </row>
    <row r="32" spans="3:21">
      <c r="C32" s="362" t="s">
        <v>546</v>
      </c>
      <c r="E32" s="41" t="s">
        <v>1105</v>
      </c>
      <c r="F32" s="41" t="s">
        <v>547</v>
      </c>
      <c r="G32" s="41" t="s">
        <v>548</v>
      </c>
      <c r="I32" s="363"/>
      <c r="J32" s="41" t="s">
        <v>43</v>
      </c>
      <c r="L32" s="391" t="s">
        <v>560</v>
      </c>
      <c r="M32" s="392"/>
      <c r="N32" s="392"/>
      <c r="O32" s="392" t="s">
        <v>456</v>
      </c>
      <c r="P32" s="392" t="s">
        <v>561</v>
      </c>
      <c r="Q32" s="392"/>
      <c r="R32" s="392"/>
      <c r="S32" s="393"/>
      <c r="T32" t="s">
        <v>43</v>
      </c>
    </row>
    <row r="33" spans="3:20">
      <c r="C33" s="362" t="s">
        <v>549</v>
      </c>
      <c r="E33" s="41" t="s">
        <v>1105</v>
      </c>
      <c r="F33" s="41" t="s">
        <v>2399</v>
      </c>
      <c r="G33" s="41" t="s">
        <v>2241</v>
      </c>
      <c r="I33" s="363"/>
      <c r="J33" s="41" t="s">
        <v>43</v>
      </c>
      <c r="L33" s="391" t="s">
        <v>562</v>
      </c>
      <c r="M33" s="392"/>
      <c r="N33" s="392"/>
      <c r="O33" s="392" t="s">
        <v>457</v>
      </c>
      <c r="P33" s="392" t="s">
        <v>552</v>
      </c>
      <c r="Q33" s="392"/>
      <c r="R33" s="392"/>
      <c r="S33" s="393"/>
      <c r="T33" t="s">
        <v>43</v>
      </c>
    </row>
    <row r="34" spans="3:20" ht="15" customHeight="1">
      <c r="C34" s="362" t="s">
        <v>550</v>
      </c>
      <c r="E34" s="41" t="s">
        <v>1105</v>
      </c>
      <c r="F34" s="41" t="s">
        <v>2400</v>
      </c>
      <c r="G34" s="41" t="s">
        <v>2241</v>
      </c>
      <c r="I34" s="363"/>
      <c r="J34" s="41" t="s">
        <v>43</v>
      </c>
      <c r="L34" s="391" t="s">
        <v>563</v>
      </c>
      <c r="M34" s="392"/>
      <c r="N34" s="392"/>
      <c r="O34" s="392" t="s">
        <v>457</v>
      </c>
      <c r="P34" s="392" t="s">
        <v>552</v>
      </c>
      <c r="Q34" s="392"/>
      <c r="R34" s="392"/>
      <c r="S34" s="393"/>
      <c r="T34" t="s">
        <v>43</v>
      </c>
    </row>
    <row r="35" spans="3:20" ht="14.5" thickBot="1">
      <c r="C35" s="362" t="s">
        <v>551</v>
      </c>
      <c r="E35" s="41" t="s">
        <v>1105</v>
      </c>
      <c r="F35" s="41" t="s">
        <v>2398</v>
      </c>
      <c r="I35" s="363"/>
      <c r="J35" s="41" t="s">
        <v>43</v>
      </c>
      <c r="L35" s="314"/>
      <c r="M35" s="305"/>
      <c r="N35" s="305"/>
      <c r="O35" s="305"/>
      <c r="P35" s="305"/>
      <c r="Q35" s="305"/>
      <c r="R35" s="305"/>
      <c r="S35" s="306"/>
      <c r="T35" t="s">
        <v>43</v>
      </c>
    </row>
    <row r="36" spans="3:20">
      <c r="C36" s="362" t="s">
        <v>554</v>
      </c>
      <c r="E36" s="41" t="s">
        <v>457</v>
      </c>
      <c r="F36" s="41" t="s">
        <v>552</v>
      </c>
      <c r="I36" s="363"/>
      <c r="J36" s="41" t="s">
        <v>43</v>
      </c>
    </row>
    <row r="37" spans="3:20">
      <c r="C37" s="362" t="s">
        <v>553</v>
      </c>
      <c r="E37" s="41" t="s">
        <v>457</v>
      </c>
      <c r="F37" s="41" t="s">
        <v>552</v>
      </c>
      <c r="I37" s="363"/>
      <c r="J37" s="41" t="s">
        <v>43</v>
      </c>
    </row>
    <row r="38" spans="3:20">
      <c r="C38" s="362" t="s">
        <v>555</v>
      </c>
      <c r="E38" s="41" t="s">
        <v>457</v>
      </c>
      <c r="F38" s="41" t="s">
        <v>552</v>
      </c>
      <c r="I38" s="363"/>
      <c r="J38" s="41" t="s">
        <v>43</v>
      </c>
    </row>
    <row r="39" spans="3:20" ht="14.5" thickBot="1">
      <c r="C39" s="364" t="s">
        <v>694</v>
      </c>
      <c r="D39" s="365"/>
      <c r="E39" s="365" t="s">
        <v>457</v>
      </c>
      <c r="F39" s="365" t="s">
        <v>552</v>
      </c>
      <c r="G39" s="365"/>
      <c r="H39" s="365"/>
      <c r="I39" s="366"/>
      <c r="J39" s="41" t="s">
        <v>43</v>
      </c>
    </row>
  </sheetData>
  <mergeCells count="46">
    <mergeCell ref="C6:D6"/>
    <mergeCell ref="E6:I6"/>
    <mergeCell ref="C2:H2"/>
    <mergeCell ref="C4:D4"/>
    <mergeCell ref="E4:I4"/>
    <mergeCell ref="C5:D5"/>
    <mergeCell ref="E5:I5"/>
    <mergeCell ref="C14:C17"/>
    <mergeCell ref="G14:G17"/>
    <mergeCell ref="C18:C21"/>
    <mergeCell ref="G18:G21"/>
    <mergeCell ref="C7:D7"/>
    <mergeCell ref="E7:I7"/>
    <mergeCell ref="C8:D8"/>
    <mergeCell ref="E8:I8"/>
    <mergeCell ref="C9:D13"/>
    <mergeCell ref="E9:F9"/>
    <mergeCell ref="G9:H9"/>
    <mergeCell ref="E10:F11"/>
    <mergeCell ref="G10:H11"/>
    <mergeCell ref="I10:I11"/>
    <mergeCell ref="C22:D22"/>
    <mergeCell ref="L4:M4"/>
    <mergeCell ref="N4:T4"/>
    <mergeCell ref="L5:M5"/>
    <mergeCell ref="N5:T5"/>
    <mergeCell ref="L6:M6"/>
    <mergeCell ref="L19:L20"/>
    <mergeCell ref="L7:M7"/>
    <mergeCell ref="N7:T7"/>
    <mergeCell ref="E12:F12"/>
    <mergeCell ref="G12:H12"/>
    <mergeCell ref="N6:T6"/>
    <mergeCell ref="E13:F13"/>
    <mergeCell ref="G13:H13"/>
    <mergeCell ref="L21:M21"/>
    <mergeCell ref="S10:S11"/>
    <mergeCell ref="L23:T23"/>
    <mergeCell ref="L24:T24"/>
    <mergeCell ref="L8:M8"/>
    <mergeCell ref="N8:T8"/>
    <mergeCell ref="L9:M13"/>
    <mergeCell ref="N10:N11"/>
    <mergeCell ref="P10:P11"/>
    <mergeCell ref="Q10:Q11"/>
    <mergeCell ref="L14:L18"/>
  </mergeCells>
  <hyperlinks>
    <hyperlink ref="I2" location="INDICE!A1" display="INDICE" xr:uid="{00000000-0004-0000-0D00-000000000000}"/>
  </hyperlink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AC39"/>
  <sheetViews>
    <sheetView showGridLines="0" topLeftCell="D1" zoomScale="60" zoomScaleNormal="60" workbookViewId="0">
      <selection activeCell="M23" sqref="M23"/>
    </sheetView>
  </sheetViews>
  <sheetFormatPr defaultColWidth="10.6640625" defaultRowHeight="14"/>
  <cols>
    <col min="2" max="2" width="17.58203125" customWidth="1"/>
    <col min="3" max="3" width="11.33203125" style="41" customWidth="1"/>
    <col min="4" max="4" width="12.83203125" style="41" customWidth="1"/>
    <col min="5" max="5" width="12.33203125" style="41" customWidth="1"/>
    <col min="6" max="6" width="13.08203125" style="41" customWidth="1"/>
    <col min="7" max="7" width="16.1640625" style="41" customWidth="1"/>
    <col min="8" max="8" width="10.58203125" style="41" customWidth="1"/>
    <col min="9" max="9" width="11.5" style="41" customWidth="1"/>
    <col min="10" max="10" width="13.1640625" style="41" customWidth="1"/>
    <col min="11" max="11" width="10.58203125" style="41" customWidth="1"/>
    <col min="12" max="12" width="11.58203125" customWidth="1"/>
    <col min="13" max="17" width="10" customWidth="1"/>
    <col min="18" max="18" width="8.33203125" customWidth="1"/>
    <col min="19" max="19" width="10" customWidth="1"/>
    <col min="20" max="20" width="4.5" customWidth="1"/>
    <col min="21" max="21" width="12.75" bestFit="1" customWidth="1"/>
    <col min="22" max="22" width="14.58203125" customWidth="1"/>
  </cols>
  <sheetData>
    <row r="2" spans="2:29" ht="18">
      <c r="B2" s="2752" t="s">
        <v>504</v>
      </c>
      <c r="C2" s="2752"/>
      <c r="D2" s="329" t="s">
        <v>503</v>
      </c>
      <c r="E2" s="330"/>
      <c r="F2" s="330"/>
      <c r="G2" s="330"/>
      <c r="H2" s="330"/>
      <c r="I2" s="330"/>
      <c r="J2" s="2081" t="s">
        <v>898</v>
      </c>
      <c r="K2" s="330"/>
      <c r="V2" s="643" t="s">
        <v>898</v>
      </c>
    </row>
    <row r="3" spans="2:29" ht="14.5" thickBot="1"/>
    <row r="4" spans="2:29" ht="16" thickBot="1">
      <c r="B4" s="455" t="s">
        <v>692</v>
      </c>
      <c r="C4" s="455" t="s">
        <v>693</v>
      </c>
      <c r="E4" s="2754" t="s">
        <v>1435</v>
      </c>
      <c r="F4" s="2755"/>
      <c r="G4" s="2756"/>
      <c r="Q4" s="185" t="s">
        <v>1443</v>
      </c>
      <c r="Y4" s="714"/>
      <c r="Z4" s="2753"/>
      <c r="AA4" s="2753"/>
      <c r="AB4" s="715"/>
      <c r="AC4" s="715"/>
    </row>
    <row r="5" spans="2:29" ht="83.5" customHeight="1">
      <c r="B5" s="338" t="s">
        <v>496</v>
      </c>
      <c r="C5" s="339" t="s">
        <v>493</v>
      </c>
      <c r="D5" s="339" t="s">
        <v>491</v>
      </c>
      <c r="E5" s="339" t="s">
        <v>490</v>
      </c>
      <c r="F5" s="339" t="s">
        <v>497</v>
      </c>
      <c r="G5" s="339" t="s">
        <v>499</v>
      </c>
      <c r="H5" s="339" t="s">
        <v>495</v>
      </c>
      <c r="I5" s="339" t="s">
        <v>1412</v>
      </c>
      <c r="J5" s="339" t="s">
        <v>1419</v>
      </c>
      <c r="K5" s="339" t="s">
        <v>1415</v>
      </c>
      <c r="L5" s="339" t="s">
        <v>494</v>
      </c>
      <c r="M5" s="339" t="s">
        <v>1421</v>
      </c>
      <c r="N5" s="339" t="s">
        <v>1431</v>
      </c>
      <c r="O5" s="339" t="s">
        <v>1426</v>
      </c>
      <c r="P5" s="339" t="s">
        <v>1428</v>
      </c>
      <c r="Q5" s="920" t="s">
        <v>1442</v>
      </c>
      <c r="R5" s="339" t="s">
        <v>708</v>
      </c>
      <c r="S5" s="339" t="s">
        <v>1423</v>
      </c>
      <c r="T5" s="323"/>
      <c r="U5" s="916" t="s">
        <v>502</v>
      </c>
      <c r="Y5" s="716"/>
      <c r="Z5" s="717"/>
      <c r="AA5" s="717"/>
      <c r="AB5" s="717"/>
      <c r="AC5" s="718"/>
    </row>
    <row r="6" spans="2:29" ht="20.5" customHeight="1" thickBot="1">
      <c r="B6" s="331"/>
      <c r="C6" s="332" t="s">
        <v>195</v>
      </c>
      <c r="D6" s="333" t="s">
        <v>1417</v>
      </c>
      <c r="E6" s="898" t="s">
        <v>1407</v>
      </c>
      <c r="F6" s="899" t="s">
        <v>1408</v>
      </c>
      <c r="G6" s="898" t="s">
        <v>1409</v>
      </c>
      <c r="H6" s="334" t="s">
        <v>185</v>
      </c>
      <c r="I6" s="334" t="s">
        <v>1413</v>
      </c>
      <c r="J6" s="334" t="s">
        <v>1418</v>
      </c>
      <c r="K6" s="334" t="s">
        <v>1416</v>
      </c>
      <c r="L6" s="334" t="s">
        <v>1420</v>
      </c>
      <c r="M6" s="334" t="s">
        <v>1422</v>
      </c>
      <c r="N6" s="334" t="s">
        <v>1424</v>
      </c>
      <c r="O6" s="334" t="s">
        <v>1427</v>
      </c>
      <c r="P6" s="334" t="s">
        <v>1429</v>
      </c>
      <c r="Q6" s="334" t="s">
        <v>7</v>
      </c>
      <c r="R6" s="334" t="s">
        <v>1430</v>
      </c>
      <c r="S6" s="334" t="s">
        <v>1432</v>
      </c>
      <c r="T6" s="894"/>
      <c r="U6" s="335" t="s">
        <v>194</v>
      </c>
      <c r="Y6" s="719"/>
      <c r="Z6" s="716"/>
      <c r="AA6" s="716"/>
      <c r="AB6" s="720"/>
      <c r="AC6" s="721"/>
    </row>
    <row r="7" spans="2:29" ht="17.5" customHeight="1">
      <c r="B7" s="331"/>
      <c r="C7" s="895" t="s">
        <v>240</v>
      </c>
      <c r="D7" s="896" t="s">
        <v>500</v>
      </c>
      <c r="E7" s="896" t="s">
        <v>501</v>
      </c>
      <c r="F7" s="896" t="s">
        <v>498</v>
      </c>
      <c r="G7" s="896" t="s">
        <v>197</v>
      </c>
      <c r="H7" s="897" t="s">
        <v>1410</v>
      </c>
      <c r="I7" s="897" t="s">
        <v>1414</v>
      </c>
      <c r="J7" s="897"/>
      <c r="K7" s="897" t="s">
        <v>1414</v>
      </c>
      <c r="L7" s="900"/>
      <c r="M7" s="897" t="s">
        <v>1414</v>
      </c>
      <c r="N7" s="897" t="s">
        <v>1425</v>
      </c>
      <c r="O7" s="897"/>
      <c r="P7" s="897"/>
      <c r="Q7" s="897"/>
      <c r="R7" s="897"/>
      <c r="S7" s="897" t="s">
        <v>1425</v>
      </c>
      <c r="T7" s="323"/>
      <c r="U7" s="917" t="s">
        <v>1434</v>
      </c>
      <c r="Y7" s="719"/>
      <c r="Z7" s="722"/>
      <c r="AA7" s="722"/>
      <c r="AB7" s="722"/>
      <c r="AC7" s="719"/>
    </row>
    <row r="8" spans="2:29" ht="24.5" customHeight="1" thickBot="1">
      <c r="B8" s="331"/>
      <c r="C8" s="901"/>
      <c r="D8" s="63"/>
      <c r="E8" s="63"/>
      <c r="F8" s="63" t="s">
        <v>1411</v>
      </c>
      <c r="G8" s="63"/>
      <c r="H8" s="63" t="s">
        <v>1411</v>
      </c>
      <c r="I8" s="902"/>
      <c r="J8" s="902"/>
      <c r="K8" s="63" t="s">
        <v>1411</v>
      </c>
      <c r="L8" s="903"/>
      <c r="M8" s="908"/>
      <c r="N8" s="63" t="s">
        <v>1411</v>
      </c>
      <c r="O8" s="908"/>
      <c r="P8" s="908"/>
      <c r="Q8" s="908"/>
      <c r="R8" s="63" t="s">
        <v>1433</v>
      </c>
      <c r="S8" s="63" t="s">
        <v>1411</v>
      </c>
      <c r="T8" s="41"/>
      <c r="U8" s="912"/>
      <c r="Y8" s="719"/>
      <c r="Z8" s="722"/>
      <c r="AA8" s="722"/>
      <c r="AB8" s="722"/>
      <c r="AC8" s="719"/>
    </row>
    <row r="9" spans="2:29">
      <c r="B9" s="324" t="s">
        <v>51</v>
      </c>
      <c r="C9" s="336">
        <f>'Datos de Actividad'!S142</f>
        <v>5397.7720778404291</v>
      </c>
      <c r="D9" s="336">
        <f>'Datos de Actividad'!S128</f>
        <v>3335.5846240137944</v>
      </c>
      <c r="E9" s="336">
        <f>(C9*1000)/D9</f>
        <v>1618.2386856505987</v>
      </c>
      <c r="F9" s="337">
        <v>0.89</v>
      </c>
      <c r="G9" s="336">
        <f>E9*F9</f>
        <v>1440.2324302290328</v>
      </c>
      <c r="H9" s="337">
        <v>1.3</v>
      </c>
      <c r="I9" s="336">
        <f>G9*H9</f>
        <v>1872.3021592977427</v>
      </c>
      <c r="J9" s="336">
        <f>D9*I9</f>
        <v>6245222.2940613767</v>
      </c>
      <c r="K9" s="337">
        <v>0.23</v>
      </c>
      <c r="L9" s="905">
        <v>1</v>
      </c>
      <c r="M9" s="913">
        <f>(G9+I9)*K9*D9*L9</f>
        <v>2541325.0719680525</v>
      </c>
      <c r="N9" s="905">
        <v>6.0000000000000001E-3</v>
      </c>
      <c r="O9" s="905">
        <v>0</v>
      </c>
      <c r="P9" s="905">
        <v>0.1</v>
      </c>
      <c r="Q9" s="919">
        <f>D9*P9</f>
        <v>333.55846240137947</v>
      </c>
      <c r="R9" s="905">
        <v>0.9</v>
      </c>
      <c r="S9" s="905">
        <v>8.9999999999999993E-3</v>
      </c>
      <c r="T9" s="910"/>
      <c r="U9" s="914">
        <f>(J9*N9*(1-O9-(P9*R9)))+(M9*S9)</f>
        <v>56970.839373287592</v>
      </c>
      <c r="Y9" s="723"/>
      <c r="Z9" s="724"/>
      <c r="AA9" s="724"/>
      <c r="AB9" s="724"/>
      <c r="AC9" s="724"/>
    </row>
    <row r="10" spans="2:29">
      <c r="B10" s="324" t="s">
        <v>52</v>
      </c>
      <c r="C10" s="336">
        <f>'Datos de Actividad'!S143</f>
        <v>1449265.8901541184</v>
      </c>
      <c r="D10" s="336">
        <f>'Datos de Actividad'!S129</f>
        <v>461546.98060501728</v>
      </c>
      <c r="E10" s="336">
        <f t="shared" ref="E10:E18" si="0">(C10*1000)/D10</f>
        <v>3140.018136949684</v>
      </c>
      <c r="F10" s="64">
        <v>0.87</v>
      </c>
      <c r="G10" s="61">
        <f t="shared" ref="G10:G18" si="1">E10*F10</f>
        <v>2731.8157791462249</v>
      </c>
      <c r="H10" s="64">
        <v>1</v>
      </c>
      <c r="I10" s="336">
        <f>G10*H10</f>
        <v>2731.8157791462249</v>
      </c>
      <c r="J10" s="336">
        <f t="shared" ref="J10:J18" si="2">D10*I10</f>
        <v>1260861324.4340827</v>
      </c>
      <c r="K10" s="337">
        <v>0.22</v>
      </c>
      <c r="L10" s="906">
        <v>1</v>
      </c>
      <c r="M10" s="913">
        <f t="shared" ref="M10:M18" si="3">(G10+I10)*K10*D10*L10</f>
        <v>554778982.75099635</v>
      </c>
      <c r="N10" s="905">
        <v>6.0000000000000001E-3</v>
      </c>
      <c r="O10" s="905">
        <v>0</v>
      </c>
      <c r="P10" s="905">
        <v>0.1</v>
      </c>
      <c r="Q10" s="919">
        <f t="shared" ref="Q10:Q18" si="4">D10*P10</f>
        <v>46154.698060501731</v>
      </c>
      <c r="R10" s="905">
        <v>0.8</v>
      </c>
      <c r="S10" s="905">
        <v>7.0000000000000001E-3</v>
      </c>
      <c r="T10" s="910"/>
      <c r="U10" s="914">
        <f t="shared" ref="U10:U18" si="5">(J10*N10*(1-O10-(P10*R10)))+(M10*S10)</f>
        <v>10843407.390133111</v>
      </c>
      <c r="Y10" s="723"/>
      <c r="Z10" s="724"/>
      <c r="AA10" s="724"/>
      <c r="AB10" s="724"/>
      <c r="AC10" s="724"/>
    </row>
    <row r="11" spans="2:29">
      <c r="B11" s="324" t="s">
        <v>53</v>
      </c>
      <c r="C11" s="336">
        <f>'Datos de Actividad'!S144</f>
        <v>1350092.7077205775</v>
      </c>
      <c r="D11" s="336">
        <f>'Datos de Actividad'!S130</f>
        <v>301852.99847142101</v>
      </c>
      <c r="E11" s="336">
        <f t="shared" si="0"/>
        <v>4472.6827778999259</v>
      </c>
      <c r="F11" s="64">
        <v>0.89</v>
      </c>
      <c r="G11" s="61">
        <f t="shared" si="1"/>
        <v>3980.6876723309342</v>
      </c>
      <c r="H11" s="64">
        <v>1.4</v>
      </c>
      <c r="I11" s="336">
        <f t="shared" ref="I11:I18" si="6">G11*H11</f>
        <v>5572.9627412633072</v>
      </c>
      <c r="J11" s="336">
        <f t="shared" si="2"/>
        <v>1682215513.8198392</v>
      </c>
      <c r="K11" s="337">
        <v>0.16</v>
      </c>
      <c r="L11" s="906">
        <v>1</v>
      </c>
      <c r="M11" s="913">
        <f t="shared" si="3"/>
        <v>461407683.79058456</v>
      </c>
      <c r="N11" s="905">
        <v>7.0000000000000001E-3</v>
      </c>
      <c r="O11" s="905">
        <v>0</v>
      </c>
      <c r="P11" s="905">
        <v>0.1</v>
      </c>
      <c r="Q11" s="919">
        <f t="shared" si="4"/>
        <v>30185.299847142101</v>
      </c>
      <c r="R11" s="905">
        <v>0.8</v>
      </c>
      <c r="S11" s="905">
        <v>8.9999999999999993E-3</v>
      </c>
      <c r="T11" s="910"/>
      <c r="U11" s="914">
        <f t="shared" si="5"/>
        <v>14986137.063115023</v>
      </c>
      <c r="Y11" s="723"/>
      <c r="Z11" s="724"/>
      <c r="AA11" s="724"/>
      <c r="AB11" s="724"/>
      <c r="AC11" s="725"/>
    </row>
    <row r="12" spans="2:29">
      <c r="B12" s="324" t="s">
        <v>187</v>
      </c>
      <c r="C12" s="336">
        <f>'Datos de Actividad'!S145</f>
        <v>13673.51656460859</v>
      </c>
      <c r="D12" s="336">
        <f>'Datos de Actividad'!S131</f>
        <v>10124.285951074651</v>
      </c>
      <c r="E12" s="336">
        <f t="shared" si="0"/>
        <v>1350.5660182540778</v>
      </c>
      <c r="F12" s="64">
        <v>0.89</v>
      </c>
      <c r="G12" s="61">
        <f t="shared" si="1"/>
        <v>1202.0037562461293</v>
      </c>
      <c r="H12" s="64">
        <v>1.2</v>
      </c>
      <c r="I12" s="336">
        <f t="shared" si="6"/>
        <v>1442.4045074953551</v>
      </c>
      <c r="J12" s="336">
        <f t="shared" si="2"/>
        <v>14603315.691001976</v>
      </c>
      <c r="K12" s="337">
        <v>0.22</v>
      </c>
      <c r="L12" s="906">
        <v>1</v>
      </c>
      <c r="M12" s="913">
        <f t="shared" si="3"/>
        <v>5890003.9953707969</v>
      </c>
      <c r="N12" s="905">
        <v>7.0000000000000001E-3</v>
      </c>
      <c r="O12" s="905">
        <v>0</v>
      </c>
      <c r="P12" s="905">
        <v>0.1</v>
      </c>
      <c r="Q12" s="919">
        <f t="shared" si="4"/>
        <v>1012.4285951074652</v>
      </c>
      <c r="R12" s="905">
        <v>0.8</v>
      </c>
      <c r="S12" s="905">
        <v>1.4E-2</v>
      </c>
      <c r="T12" s="910"/>
      <c r="U12" s="914">
        <f t="shared" si="5"/>
        <v>176505.40898524388</v>
      </c>
      <c r="Y12" s="723"/>
      <c r="Z12" s="724"/>
      <c r="AA12" s="724"/>
      <c r="AB12" s="724"/>
      <c r="AC12" s="724"/>
    </row>
    <row r="13" spans="2:29">
      <c r="B13" s="324" t="s">
        <v>189</v>
      </c>
      <c r="C13" s="336">
        <f>'Datos de Actividad'!S146</f>
        <v>76892.484807727305</v>
      </c>
      <c r="D13" s="336">
        <f>'Datos de Actividad'!S132</f>
        <v>14261.933188276513</v>
      </c>
      <c r="E13" s="336">
        <f t="shared" si="0"/>
        <v>5391.4489566487309</v>
      </c>
      <c r="F13" s="64">
        <v>0.22</v>
      </c>
      <c r="G13" s="61">
        <f t="shared" si="1"/>
        <v>1186.1187704627207</v>
      </c>
      <c r="H13" s="64">
        <v>0.4</v>
      </c>
      <c r="I13" s="336">
        <f t="shared" si="6"/>
        <v>474.44750818508828</v>
      </c>
      <c r="J13" s="336">
        <f t="shared" si="2"/>
        <v>6766538.6630800031</v>
      </c>
      <c r="K13" s="337">
        <v>0.2</v>
      </c>
      <c r="L13" s="906">
        <v>1</v>
      </c>
      <c r="M13" s="913">
        <f t="shared" si="3"/>
        <v>4736577.0641560024</v>
      </c>
      <c r="N13" s="905">
        <v>1.9E-2</v>
      </c>
      <c r="O13" s="905">
        <v>0</v>
      </c>
      <c r="P13" s="905">
        <v>0.1</v>
      </c>
      <c r="Q13" s="919">
        <f t="shared" si="4"/>
        <v>1426.1933188276514</v>
      </c>
      <c r="R13" s="905">
        <v>0.8</v>
      </c>
      <c r="S13" s="905">
        <v>1.4E-2</v>
      </c>
      <c r="T13" s="910"/>
      <c r="U13" s="914">
        <f t="shared" si="5"/>
        <v>184591.17472882249</v>
      </c>
      <c r="Y13" s="723"/>
      <c r="Z13" s="724"/>
      <c r="AA13" s="724"/>
      <c r="AB13" s="724"/>
      <c r="AC13" s="724"/>
    </row>
    <row r="14" spans="2:29">
      <c r="B14" s="324" t="s">
        <v>188</v>
      </c>
      <c r="C14" s="336">
        <f>'Datos de Actividad'!S147</f>
        <v>7840634.5575351408</v>
      </c>
      <c r="D14" s="336">
        <f>'Datos de Actividad'!S133</f>
        <v>132771.42796349645</v>
      </c>
      <c r="E14" s="336">
        <f t="shared" si="0"/>
        <v>59053.62831294402</v>
      </c>
      <c r="F14" s="64">
        <v>0.89</v>
      </c>
      <c r="G14" s="61">
        <f t="shared" si="1"/>
        <v>52557.729198520181</v>
      </c>
      <c r="H14" s="64">
        <v>1</v>
      </c>
      <c r="I14" s="336">
        <f t="shared" si="6"/>
        <v>52557.729198520181</v>
      </c>
      <c r="J14" s="336">
        <f t="shared" si="2"/>
        <v>6978164756.2062759</v>
      </c>
      <c r="K14" s="337">
        <v>0.22</v>
      </c>
      <c r="L14" s="906">
        <v>1</v>
      </c>
      <c r="M14" s="913">
        <f t="shared" si="3"/>
        <v>3070392492.7307615</v>
      </c>
      <c r="N14" s="905">
        <v>8.0000000000000002E-3</v>
      </c>
      <c r="O14" s="905">
        <v>0</v>
      </c>
      <c r="P14" s="905">
        <v>0.1</v>
      </c>
      <c r="Q14" s="919">
        <f t="shared" si="4"/>
        <v>13277.142796349646</v>
      </c>
      <c r="R14" s="905">
        <v>0.8</v>
      </c>
      <c r="S14" s="905">
        <v>8.9999999999999993E-3</v>
      </c>
      <c r="T14" s="910"/>
      <c r="U14" s="914">
        <f t="shared" si="5"/>
        <v>78992825.04025504</v>
      </c>
      <c r="Y14" s="723"/>
      <c r="Z14" s="724"/>
      <c r="AA14" s="724"/>
      <c r="AB14" s="724"/>
      <c r="AC14" s="724"/>
    </row>
    <row r="15" spans="2:29">
      <c r="B15" s="324" t="s">
        <v>190</v>
      </c>
      <c r="C15" s="336">
        <f>'Datos de Actividad'!S148</f>
        <v>14578.329171940029</v>
      </c>
      <c r="D15" s="336">
        <f>'Datos de Actividad'!S134</f>
        <v>7088.3814460411922</v>
      </c>
      <c r="E15" s="336">
        <f t="shared" si="0"/>
        <v>2056.6513361215789</v>
      </c>
      <c r="F15" s="64">
        <v>0.88</v>
      </c>
      <c r="G15" s="61">
        <f t="shared" si="1"/>
        <v>1809.8531757869894</v>
      </c>
      <c r="H15" s="64">
        <v>1.3</v>
      </c>
      <c r="I15" s="336">
        <f t="shared" si="6"/>
        <v>2352.8091285230862</v>
      </c>
      <c r="J15" s="336">
        <f t="shared" si="2"/>
        <v>16677608.57269939</v>
      </c>
      <c r="K15" s="337">
        <v>0.22</v>
      </c>
      <c r="L15" s="906">
        <v>1</v>
      </c>
      <c r="M15" s="913">
        <f t="shared" si="3"/>
        <v>6491438.413681455</v>
      </c>
      <c r="N15" s="905">
        <v>6.0000000000000001E-3</v>
      </c>
      <c r="O15" s="905">
        <v>0</v>
      </c>
      <c r="P15" s="905">
        <v>0.1</v>
      </c>
      <c r="Q15" s="919">
        <f t="shared" si="4"/>
        <v>708.83814460411929</v>
      </c>
      <c r="R15" s="905">
        <v>0.8</v>
      </c>
      <c r="S15" s="905">
        <v>8.9999999999999993E-3</v>
      </c>
      <c r="T15" s="910"/>
      <c r="U15" s="914">
        <f t="shared" si="5"/>
        <v>150483.34504443372</v>
      </c>
      <c r="Y15" s="723"/>
      <c r="Z15" s="724"/>
      <c r="AA15" s="724"/>
      <c r="AB15" s="724"/>
      <c r="AC15" s="724"/>
    </row>
    <row r="16" spans="2:29">
      <c r="B16" s="324" t="s">
        <v>191</v>
      </c>
      <c r="C16" s="336">
        <f>'Datos de Actividad'!S149</f>
        <v>32705.259506425144</v>
      </c>
      <c r="D16" s="336">
        <f>'Datos de Actividad'!S135</f>
        <v>31095.522170580276</v>
      </c>
      <c r="E16" s="336">
        <f t="shared" si="0"/>
        <v>1051.7674965229512</v>
      </c>
      <c r="F16" s="64">
        <v>0.91</v>
      </c>
      <c r="G16" s="61">
        <f t="shared" si="1"/>
        <v>957.10842183588568</v>
      </c>
      <c r="H16" s="64">
        <v>2.1</v>
      </c>
      <c r="I16" s="336">
        <f t="shared" si="6"/>
        <v>2009.9276858553601</v>
      </c>
      <c r="J16" s="336">
        <f t="shared" si="2"/>
        <v>62499750.91677846</v>
      </c>
      <c r="K16" s="337">
        <v>0.19</v>
      </c>
      <c r="L16" s="906">
        <v>1</v>
      </c>
      <c r="M16" s="913">
        <f t="shared" si="3"/>
        <v>17529692.042848814</v>
      </c>
      <c r="N16" s="905">
        <v>8.0000000000000002E-3</v>
      </c>
      <c r="O16" s="905">
        <v>0</v>
      </c>
      <c r="P16" s="905">
        <v>0.1</v>
      </c>
      <c r="Q16" s="919">
        <f t="shared" si="4"/>
        <v>3109.552217058028</v>
      </c>
      <c r="R16" s="905">
        <v>0.8</v>
      </c>
      <c r="S16" s="905">
        <v>8.0000000000000002E-3</v>
      </c>
      <c r="T16" s="910"/>
      <c r="U16" s="914">
        <f t="shared" si="5"/>
        <v>600235.70309027995</v>
      </c>
      <c r="Y16" s="723"/>
      <c r="Z16" s="724"/>
      <c r="AA16" s="724"/>
      <c r="AB16" s="724"/>
      <c r="AC16" s="724"/>
    </row>
    <row r="17" spans="2:29">
      <c r="B17" s="324" t="s">
        <v>192</v>
      </c>
      <c r="C17" s="336">
        <f>'Datos de Actividad'!S150</f>
        <v>16774.827057185736</v>
      </c>
      <c r="D17" s="336">
        <f>'Datos de Actividad'!S136</f>
        <v>7453.7086174472588</v>
      </c>
      <c r="E17" s="336">
        <f t="shared" si="0"/>
        <v>2250.5343203140624</v>
      </c>
      <c r="F17" s="64">
        <v>0.88</v>
      </c>
      <c r="G17" s="61">
        <f t="shared" si="1"/>
        <v>1980.4702018763749</v>
      </c>
      <c r="H17" s="64">
        <v>1.3</v>
      </c>
      <c r="I17" s="336">
        <f t="shared" si="6"/>
        <v>2574.6112624392872</v>
      </c>
      <c r="J17" s="336">
        <f t="shared" si="2"/>
        <v>19190402.153420482</v>
      </c>
      <c r="K17" s="337">
        <v>0.22</v>
      </c>
      <c r="L17" s="906">
        <v>1</v>
      </c>
      <c r="M17" s="913">
        <f t="shared" si="3"/>
        <v>7469494.9920236636</v>
      </c>
      <c r="N17" s="905">
        <v>6.0000000000000001E-3</v>
      </c>
      <c r="O17" s="905">
        <v>0</v>
      </c>
      <c r="P17" s="905">
        <v>0.1</v>
      </c>
      <c r="Q17" s="919">
        <f t="shared" si="4"/>
        <v>745.37086174472597</v>
      </c>
      <c r="R17" s="905">
        <v>0.8</v>
      </c>
      <c r="S17" s="905">
        <v>8.9999999999999993E-3</v>
      </c>
      <c r="T17" s="910"/>
      <c r="U17" s="914">
        <f t="shared" si="5"/>
        <v>173156.47481509403</v>
      </c>
      <c r="Y17" s="723"/>
      <c r="Z17" s="724"/>
      <c r="AA17" s="724"/>
      <c r="AB17" s="724"/>
      <c r="AC17" s="724"/>
    </row>
    <row r="18" spans="2:29" ht="14.5" thickBot="1">
      <c r="B18" s="325" t="s">
        <v>193</v>
      </c>
      <c r="C18" s="336">
        <f>'Datos de Actividad'!S151</f>
        <v>269200.69709234359</v>
      </c>
      <c r="D18" s="336">
        <f>'Datos de Actividad'!S137</f>
        <v>23974.450005879065</v>
      </c>
      <c r="E18" s="336">
        <f t="shared" si="0"/>
        <v>11228.649542589281</v>
      </c>
      <c r="F18" s="65">
        <v>0.22</v>
      </c>
      <c r="G18" s="62">
        <f t="shared" si="1"/>
        <v>2470.3028993696416</v>
      </c>
      <c r="H18" s="65">
        <v>0.4</v>
      </c>
      <c r="I18" s="336">
        <f t="shared" si="6"/>
        <v>988.12115974785672</v>
      </c>
      <c r="J18" s="336">
        <f t="shared" si="2"/>
        <v>23689661.344126232</v>
      </c>
      <c r="K18" s="904">
        <v>0.2</v>
      </c>
      <c r="L18" s="907">
        <v>1</v>
      </c>
      <c r="M18" s="913">
        <f t="shared" si="3"/>
        <v>16582762.940888364</v>
      </c>
      <c r="N18" s="909">
        <v>1.9E-2</v>
      </c>
      <c r="O18" s="909">
        <v>0</v>
      </c>
      <c r="P18" s="905">
        <v>0.1</v>
      </c>
      <c r="Q18" s="919">
        <f t="shared" si="4"/>
        <v>2397.4450005879066</v>
      </c>
      <c r="R18" s="905">
        <v>0.8</v>
      </c>
      <c r="S18" s="909">
        <v>1.4E-2</v>
      </c>
      <c r="T18" s="910"/>
      <c r="U18" s="914">
        <f t="shared" si="5"/>
        <v>646253.96146776364</v>
      </c>
      <c r="Y18" s="723"/>
      <c r="Z18" s="724"/>
      <c r="AA18" s="724"/>
      <c r="AB18" s="724"/>
      <c r="AC18" s="724"/>
    </row>
    <row r="19" spans="2:29" ht="15" thickBot="1">
      <c r="C19" s="326"/>
      <c r="D19" s="326"/>
      <c r="E19" s="327"/>
      <c r="F19" s="326"/>
      <c r="G19" s="326"/>
      <c r="H19" s="328"/>
      <c r="I19" s="328"/>
      <c r="J19" s="328"/>
      <c r="K19" s="328"/>
      <c r="L19" s="328"/>
      <c r="M19" s="328"/>
      <c r="N19" s="328"/>
      <c r="O19" s="328"/>
      <c r="P19" s="328"/>
      <c r="Q19" s="328"/>
      <c r="R19" s="328"/>
      <c r="S19" s="328"/>
      <c r="T19" s="911"/>
      <c r="U19" s="915">
        <f>SUM(U9:U18)</f>
        <v>106810566.4010081</v>
      </c>
      <c r="Y19" s="715"/>
      <c r="Z19" s="726"/>
      <c r="AA19" s="726"/>
      <c r="AB19" s="726"/>
      <c r="AC19" s="727"/>
    </row>
    <row r="20" spans="2:29">
      <c r="C20" s="60"/>
      <c r="D20" s="60"/>
      <c r="L20" s="323"/>
      <c r="M20" s="323"/>
      <c r="N20" s="323"/>
      <c r="O20" s="323"/>
      <c r="P20" s="323"/>
      <c r="Q20" s="323"/>
      <c r="R20" s="323"/>
      <c r="S20" s="323"/>
      <c r="T20" s="323"/>
    </row>
    <row r="21" spans="2:29" ht="15.5">
      <c r="B21" s="455"/>
      <c r="C21" s="455"/>
      <c r="D21" s="60"/>
    </row>
    <row r="22" spans="2:29">
      <c r="B22" s="471"/>
      <c r="C22" s="472"/>
      <c r="F22" s="473"/>
      <c r="G22" s="474"/>
      <c r="H22" s="474"/>
      <c r="I22" s="474"/>
      <c r="J22" s="474"/>
      <c r="K22" s="474"/>
    </row>
    <row r="23" spans="2:29" ht="14.5" thickBot="1"/>
    <row r="24" spans="2:29" ht="17.5">
      <c r="B24" s="770" t="s">
        <v>1110</v>
      </c>
      <c r="C24" s="299"/>
      <c r="D24" s="299"/>
      <c r="E24" s="299"/>
      <c r="F24" s="299"/>
      <c r="G24" s="299"/>
      <c r="H24" s="299"/>
      <c r="I24" s="299"/>
      <c r="J24" s="299"/>
      <c r="K24" s="299"/>
    </row>
    <row r="25" spans="2:29">
      <c r="B25" s="301" t="s">
        <v>433</v>
      </c>
      <c r="C25" s="302" t="s">
        <v>308</v>
      </c>
      <c r="D25" s="302" t="s">
        <v>3</v>
      </c>
      <c r="E25" s="302" t="s">
        <v>306</v>
      </c>
      <c r="F25" s="302"/>
      <c r="G25" s="302"/>
      <c r="H25" s="302"/>
      <c r="I25" s="302"/>
      <c r="J25" s="302"/>
      <c r="K25" s="302"/>
    </row>
    <row r="26" spans="2:29">
      <c r="B26" s="780" t="s">
        <v>493</v>
      </c>
      <c r="C26" s="41" t="s">
        <v>1104</v>
      </c>
      <c r="D26" s="41" t="s">
        <v>984</v>
      </c>
      <c r="E26" s="41" t="s">
        <v>995</v>
      </c>
    </row>
    <row r="27" spans="2:29">
      <c r="B27" s="780" t="s">
        <v>701</v>
      </c>
      <c r="C27" s="41" t="s">
        <v>1104</v>
      </c>
      <c r="D27" s="41" t="s">
        <v>984</v>
      </c>
      <c r="E27" s="41" t="s">
        <v>995</v>
      </c>
    </row>
    <row r="28" spans="2:29">
      <c r="B28" s="780" t="s">
        <v>702</v>
      </c>
      <c r="C28" s="41" t="s">
        <v>703</v>
      </c>
      <c r="D28" s="41" t="s">
        <v>704</v>
      </c>
    </row>
    <row r="29" spans="2:29">
      <c r="B29" s="780" t="s">
        <v>705</v>
      </c>
      <c r="C29" s="41" t="s">
        <v>703</v>
      </c>
      <c r="D29" s="297" t="s">
        <v>706</v>
      </c>
    </row>
    <row r="30" spans="2:29">
      <c r="B30" s="780" t="s">
        <v>492</v>
      </c>
      <c r="C30" s="41" t="s">
        <v>1104</v>
      </c>
      <c r="D30" s="41" t="s">
        <v>704</v>
      </c>
      <c r="E30" s="41" t="s">
        <v>707</v>
      </c>
    </row>
    <row r="31" spans="2:29">
      <c r="B31" s="780" t="s">
        <v>708</v>
      </c>
      <c r="C31" s="41" t="s">
        <v>703</v>
      </c>
      <c r="D31" s="41" t="s">
        <v>709</v>
      </c>
    </row>
    <row r="32" spans="2:29">
      <c r="B32" s="780" t="s">
        <v>712</v>
      </c>
      <c r="C32" s="41" t="s">
        <v>703</v>
      </c>
      <c r="D32" s="41" t="s">
        <v>710</v>
      </c>
    </row>
    <row r="33" spans="2:11">
      <c r="B33" s="780" t="s">
        <v>711</v>
      </c>
      <c r="C33" s="41" t="s">
        <v>703</v>
      </c>
      <c r="D33" s="41" t="s">
        <v>706</v>
      </c>
    </row>
    <row r="34" spans="2:11">
      <c r="B34" s="780" t="s">
        <v>713</v>
      </c>
      <c r="C34" s="41" t="s">
        <v>703</v>
      </c>
      <c r="D34" s="41" t="s">
        <v>60</v>
      </c>
      <c r="E34" s="41" t="s">
        <v>714</v>
      </c>
    </row>
    <row r="35" spans="2:11">
      <c r="B35" s="780" t="s">
        <v>715</v>
      </c>
      <c r="C35" s="41" t="s">
        <v>703</v>
      </c>
      <c r="D35" s="41" t="s">
        <v>706</v>
      </c>
    </row>
    <row r="36" spans="2:11">
      <c r="B36" s="780" t="s">
        <v>186</v>
      </c>
      <c r="C36" s="41" t="s">
        <v>703</v>
      </c>
      <c r="D36" s="41" t="s">
        <v>706</v>
      </c>
    </row>
    <row r="37" spans="2:11">
      <c r="B37" s="780" t="s">
        <v>716</v>
      </c>
      <c r="C37" s="41" t="s">
        <v>441</v>
      </c>
      <c r="D37" s="41" t="s">
        <v>717</v>
      </c>
      <c r="E37" s="41" t="s">
        <v>718</v>
      </c>
    </row>
    <row r="38" spans="2:11">
      <c r="B38" s="780" t="s">
        <v>719</v>
      </c>
      <c r="C38" s="41" t="s">
        <v>441</v>
      </c>
      <c r="D38" s="41" t="s">
        <v>984</v>
      </c>
      <c r="E38" s="41" t="s">
        <v>720</v>
      </c>
    </row>
    <row r="39" spans="2:11" ht="14.5" thickBot="1">
      <c r="B39" s="314"/>
      <c r="C39" s="365"/>
      <c r="D39" s="365"/>
      <c r="E39" s="365"/>
      <c r="F39" s="365"/>
      <c r="G39" s="365"/>
      <c r="H39" s="365"/>
      <c r="I39" s="365"/>
      <c r="J39" s="365"/>
      <c r="K39" s="365"/>
    </row>
  </sheetData>
  <mergeCells count="3">
    <mergeCell ref="B2:C2"/>
    <mergeCell ref="Z4:AA4"/>
    <mergeCell ref="E4:G4"/>
  </mergeCells>
  <hyperlinks>
    <hyperlink ref="V2" location="INDICE!A1" display="INDICE" xr:uid="{00000000-0004-0000-0E00-000000000000}"/>
    <hyperlink ref="J2" location="INDICE!A1" display="INDICE" xr:uid="{F9EF959F-53BC-4A51-BE70-EEAB181631D7}"/>
  </hyperlink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T30"/>
  <sheetViews>
    <sheetView showGridLines="0" topLeftCell="H9" zoomScale="80" zoomScaleNormal="80" workbookViewId="0">
      <selection activeCell="F15" sqref="F15"/>
    </sheetView>
  </sheetViews>
  <sheetFormatPr defaultColWidth="10.6640625" defaultRowHeight="14"/>
  <cols>
    <col min="2" max="2" width="15.08203125" style="41" customWidth="1"/>
    <col min="3" max="3" width="12.83203125" style="41" customWidth="1"/>
    <col min="4" max="4" width="17.83203125" style="41" customWidth="1"/>
    <col min="5" max="5" width="13.08203125" style="41" customWidth="1"/>
    <col min="6" max="6" width="11" style="41" customWidth="1"/>
    <col min="7" max="7" width="10.58203125" style="41" customWidth="1"/>
    <col min="8" max="8" width="14.33203125" style="41" customWidth="1"/>
    <col min="9" max="9" width="15.08203125" customWidth="1"/>
    <col min="10" max="10" width="6.58203125" customWidth="1"/>
    <col min="11" max="11" width="6" customWidth="1"/>
    <col min="12" max="12" width="15.5" customWidth="1"/>
    <col min="14" max="14" width="12.75" customWidth="1"/>
    <col min="15" max="15" width="13.08203125" customWidth="1"/>
    <col min="16" max="16" width="12" bestFit="1" customWidth="1"/>
    <col min="18" max="18" width="14.33203125" customWidth="1"/>
    <col min="20" max="20" width="16.5" customWidth="1"/>
  </cols>
  <sheetData>
    <row r="2" spans="2:20" ht="15.5">
      <c r="B2" s="2661" t="s">
        <v>587</v>
      </c>
      <c r="C2" s="2661"/>
      <c r="D2" s="2661"/>
      <c r="E2" s="2661"/>
      <c r="F2" s="2661"/>
      <c r="G2" s="2661"/>
      <c r="I2" s="643" t="s">
        <v>898</v>
      </c>
    </row>
    <row r="3" spans="2:20" ht="14.5" thickBot="1"/>
    <row r="4" spans="2:20" ht="14.5" thickBot="1">
      <c r="B4" s="56" t="s">
        <v>82</v>
      </c>
      <c r="C4" s="2731" t="s">
        <v>315</v>
      </c>
      <c r="D4" s="2732"/>
      <c r="E4" s="2732"/>
      <c r="F4" s="2732"/>
      <c r="G4" s="2732"/>
      <c r="H4" s="2732"/>
      <c r="I4" s="2733"/>
      <c r="L4" s="53" t="s">
        <v>82</v>
      </c>
      <c r="M4" s="2665" t="s">
        <v>315</v>
      </c>
      <c r="N4" s="2666"/>
      <c r="O4" s="2666"/>
      <c r="P4" s="2666"/>
      <c r="Q4" s="2666"/>
      <c r="R4" s="2666"/>
      <c r="S4" s="2666"/>
      <c r="T4" s="2667"/>
    </row>
    <row r="5" spans="2:20" ht="32.15" customHeight="1" thickBot="1">
      <c r="B5" s="57" t="s">
        <v>426</v>
      </c>
      <c r="C5" s="2665" t="s">
        <v>564</v>
      </c>
      <c r="D5" s="2666"/>
      <c r="E5" s="2666"/>
      <c r="F5" s="2666"/>
      <c r="G5" s="2666"/>
      <c r="H5" s="2666"/>
      <c r="I5" s="2666"/>
      <c r="L5" s="54" t="s">
        <v>426</v>
      </c>
      <c r="M5" s="2665" t="s">
        <v>565</v>
      </c>
      <c r="N5" s="2666"/>
      <c r="O5" s="2666"/>
      <c r="P5" s="2666"/>
      <c r="Q5" s="2666"/>
      <c r="R5" s="2666"/>
      <c r="S5" s="2666"/>
      <c r="T5" s="2667"/>
    </row>
    <row r="6" spans="2:20" ht="24" thickBot="1">
      <c r="B6" s="57" t="s">
        <v>427</v>
      </c>
      <c r="C6" s="2731" t="s">
        <v>161</v>
      </c>
      <c r="D6" s="2732"/>
      <c r="E6" s="2732"/>
      <c r="F6" s="2732"/>
      <c r="G6" s="2732"/>
      <c r="H6" s="2732"/>
      <c r="I6" s="2733"/>
      <c r="L6" s="54" t="s">
        <v>427</v>
      </c>
      <c r="M6" s="2665" t="s">
        <v>161</v>
      </c>
      <c r="N6" s="2666"/>
      <c r="O6" s="2666"/>
      <c r="P6" s="2666"/>
      <c r="Q6" s="2666"/>
      <c r="R6" s="2666"/>
      <c r="S6" s="2666"/>
      <c r="T6" s="2667"/>
    </row>
    <row r="7" spans="2:20" ht="14.5" thickBot="1">
      <c r="B7" s="57" t="s">
        <v>428</v>
      </c>
      <c r="C7" s="2731" t="s">
        <v>473</v>
      </c>
      <c r="D7" s="2732"/>
      <c r="E7" s="2732"/>
      <c r="F7" s="2732"/>
      <c r="G7" s="2732"/>
      <c r="H7" s="2732"/>
      <c r="I7" s="2733"/>
      <c r="L7" s="54" t="s">
        <v>428</v>
      </c>
      <c r="M7" s="2665" t="s">
        <v>460</v>
      </c>
      <c r="N7" s="2666"/>
      <c r="O7" s="2666"/>
      <c r="P7" s="2666"/>
      <c r="Q7" s="2666"/>
      <c r="R7" s="2666"/>
      <c r="S7" s="2666"/>
      <c r="T7" s="2667"/>
    </row>
    <row r="8" spans="2:20" ht="14.5" thickBot="1">
      <c r="B8" s="58" t="s">
        <v>429</v>
      </c>
      <c r="C8" s="2736" t="s">
        <v>578</v>
      </c>
      <c r="D8" s="2737"/>
      <c r="E8" s="2737"/>
      <c r="F8" s="2737"/>
      <c r="G8" s="2737"/>
      <c r="H8" s="2737"/>
      <c r="I8" s="2738"/>
      <c r="L8" s="16" t="s">
        <v>429</v>
      </c>
      <c r="M8" s="2608" t="s">
        <v>579</v>
      </c>
      <c r="N8" s="2622"/>
      <c r="O8" s="2622"/>
      <c r="P8" s="2622"/>
      <c r="Q8" s="2622"/>
      <c r="R8" s="2622"/>
      <c r="S8" s="2622"/>
      <c r="T8" s="2609"/>
    </row>
    <row r="9" spans="2:20" ht="76.5" customHeight="1" thickBot="1">
      <c r="B9" s="2673" t="s">
        <v>517</v>
      </c>
      <c r="C9" s="34" t="s">
        <v>566</v>
      </c>
      <c r="D9" s="34" t="s">
        <v>567</v>
      </c>
      <c r="E9" s="34" t="s">
        <v>568</v>
      </c>
      <c r="F9" s="34" t="s">
        <v>569</v>
      </c>
      <c r="G9" s="34" t="s">
        <v>570</v>
      </c>
      <c r="H9" s="34" t="s">
        <v>571</v>
      </c>
      <c r="I9" s="34" t="s">
        <v>572</v>
      </c>
      <c r="L9" s="2673" t="s">
        <v>517</v>
      </c>
      <c r="M9" s="17" t="s">
        <v>566</v>
      </c>
      <c r="N9" s="17" t="s">
        <v>568</v>
      </c>
      <c r="O9" s="17" t="s">
        <v>569</v>
      </c>
      <c r="P9" s="17" t="s">
        <v>573</v>
      </c>
      <c r="Q9" s="17" t="s">
        <v>574</v>
      </c>
      <c r="R9" s="17" t="s">
        <v>575</v>
      </c>
      <c r="S9" s="17" t="s">
        <v>576</v>
      </c>
      <c r="T9" s="17" t="s">
        <v>577</v>
      </c>
    </row>
    <row r="10" spans="2:20">
      <c r="B10" s="2671"/>
      <c r="C10" s="2757" t="s">
        <v>128</v>
      </c>
      <c r="D10" s="2757" t="s">
        <v>175</v>
      </c>
      <c r="E10" s="2757" t="s">
        <v>128</v>
      </c>
      <c r="F10" s="2757" t="s">
        <v>128</v>
      </c>
      <c r="G10" s="2757" t="s">
        <v>176</v>
      </c>
      <c r="H10" s="2757" t="s">
        <v>177</v>
      </c>
      <c r="I10" s="2757" t="s">
        <v>132</v>
      </c>
      <c r="L10" s="2671"/>
      <c r="M10" s="2673" t="s">
        <v>116</v>
      </c>
      <c r="N10" s="2673" t="s">
        <v>116</v>
      </c>
      <c r="O10" s="2673" t="s">
        <v>116</v>
      </c>
      <c r="P10" s="2673" t="s">
        <v>116</v>
      </c>
      <c r="Q10" s="2673" t="s">
        <v>116</v>
      </c>
      <c r="R10" s="2673" t="s">
        <v>165</v>
      </c>
      <c r="S10" s="27" t="s">
        <v>117</v>
      </c>
      <c r="T10" s="2673" t="s">
        <v>166</v>
      </c>
    </row>
    <row r="11" spans="2:20" ht="23.5" thickBot="1">
      <c r="B11" s="2671"/>
      <c r="C11" s="2759"/>
      <c r="D11" s="2758"/>
      <c r="E11" s="2758"/>
      <c r="F11" s="2758"/>
      <c r="G11" s="2758"/>
      <c r="H11" s="2758"/>
      <c r="I11" s="2758"/>
      <c r="L11" s="2671"/>
      <c r="M11" s="2671"/>
      <c r="N11" s="2671"/>
      <c r="O11" s="2671"/>
      <c r="P11" s="2671"/>
      <c r="Q11" s="2671"/>
      <c r="R11" s="2671"/>
      <c r="S11" s="27" t="s">
        <v>167</v>
      </c>
      <c r="T11" s="2671"/>
    </row>
    <row r="12" spans="2:20" ht="43.5" customHeight="1" thickBot="1">
      <c r="B12" s="2671"/>
      <c r="C12" s="35"/>
      <c r="D12" s="35" t="s">
        <v>1002</v>
      </c>
      <c r="E12" s="35"/>
      <c r="F12" s="35"/>
      <c r="G12" s="35" t="s">
        <v>1002</v>
      </c>
      <c r="H12" s="35" t="s">
        <v>1002</v>
      </c>
      <c r="I12" s="35" t="s">
        <v>178</v>
      </c>
      <c r="L12" s="2671"/>
      <c r="M12" s="2672"/>
      <c r="N12" s="2672"/>
      <c r="O12" s="2672"/>
      <c r="P12" s="2672"/>
      <c r="Q12" s="2672"/>
      <c r="R12" s="2672"/>
      <c r="S12" s="18" t="s">
        <v>168</v>
      </c>
      <c r="T12" s="2672"/>
    </row>
    <row r="13" spans="2:20" ht="41" thickBot="1">
      <c r="B13" s="2671"/>
      <c r="C13" s="293"/>
      <c r="D13" s="293"/>
      <c r="E13" s="293"/>
      <c r="F13" s="293"/>
      <c r="G13" s="293"/>
      <c r="H13" s="293"/>
      <c r="I13" s="293"/>
      <c r="L13" s="2671"/>
      <c r="M13" s="20"/>
      <c r="N13" s="20"/>
      <c r="O13" s="20"/>
      <c r="P13" s="20"/>
      <c r="Q13" s="20"/>
      <c r="R13" s="20" t="s">
        <v>1002</v>
      </c>
      <c r="S13" s="20" t="s">
        <v>1002</v>
      </c>
      <c r="T13" s="20" t="s">
        <v>169</v>
      </c>
    </row>
    <row r="14" spans="2:20" ht="19" customHeight="1" thickBot="1">
      <c r="B14" s="349"/>
      <c r="C14" s="37" t="s">
        <v>179</v>
      </c>
      <c r="D14" s="37" t="s">
        <v>180</v>
      </c>
      <c r="E14" s="37" t="s">
        <v>181</v>
      </c>
      <c r="F14" s="37" t="s">
        <v>150</v>
      </c>
      <c r="G14" s="37" t="s">
        <v>182</v>
      </c>
      <c r="H14" s="37" t="s">
        <v>183</v>
      </c>
      <c r="I14" s="37" t="s">
        <v>184</v>
      </c>
      <c r="L14" s="2681"/>
      <c r="M14" s="19" t="s">
        <v>162</v>
      </c>
      <c r="N14" s="19" t="s">
        <v>163</v>
      </c>
      <c r="O14" s="19" t="s">
        <v>164</v>
      </c>
      <c r="P14" s="19" t="s">
        <v>170</v>
      </c>
      <c r="Q14" s="19" t="s">
        <v>171</v>
      </c>
      <c r="R14" s="19" t="s">
        <v>172</v>
      </c>
      <c r="S14" s="19" t="s">
        <v>173</v>
      </c>
      <c r="T14" s="19" t="s">
        <v>174</v>
      </c>
    </row>
    <row r="15" spans="2:20" ht="15" thickTop="1" thickBot="1">
      <c r="B15" s="36" t="s">
        <v>107</v>
      </c>
      <c r="C15" s="52">
        <f>'3C4 Suelos Agricolas N2O Direct'!F14+'3C4 Suelos Agricolas N2O Direct'!F18</f>
        <v>197443202</v>
      </c>
      <c r="D15" s="39">
        <v>0.11</v>
      </c>
      <c r="E15" s="52">
        <f>'3C4 Suelos Agricolas N2O Direct'!F15+'3C4 Suelos Agricolas N2O Direct'!F19</f>
        <v>31898762.352033596</v>
      </c>
      <c r="F15" s="52">
        <f>'3C4 Suelos Agricolas N2O Direct'!Q19+'3C4 Suelos Agricolas N2O Direct'!Q20</f>
        <v>141352675.43141305</v>
      </c>
      <c r="G15" s="39">
        <v>0.21</v>
      </c>
      <c r="H15" s="39">
        <v>0.01</v>
      </c>
      <c r="I15" s="25">
        <f>((C15*D15)+((E15+F15)*G15))*H15</f>
        <v>581015.54154523788</v>
      </c>
      <c r="L15" s="43" t="s">
        <v>107</v>
      </c>
      <c r="M15" s="71">
        <f>C15</f>
        <v>197443202</v>
      </c>
      <c r="N15" s="84">
        <f>E15</f>
        <v>31898762.352033596</v>
      </c>
      <c r="O15" s="84">
        <f>F15</f>
        <v>141352675.43141305</v>
      </c>
      <c r="P15" s="84">
        <f>'Anexo 3C4'!U19</f>
        <v>106810566.4010081</v>
      </c>
      <c r="Q15" s="20" t="s">
        <v>60</v>
      </c>
      <c r="R15" s="20">
        <v>0.24</v>
      </c>
      <c r="S15" s="20">
        <v>1.0999999999999999E-2</v>
      </c>
      <c r="T15" s="25">
        <f>(M15+N15+O15+P15)*R15*S15</f>
        <v>1260613.7443269605</v>
      </c>
    </row>
    <row r="16" spans="2:20" ht="14.5" thickBot="1">
      <c r="B16" s="36" t="s">
        <v>108</v>
      </c>
      <c r="C16" s="39"/>
      <c r="D16" s="39"/>
      <c r="E16" s="39"/>
      <c r="F16" s="39"/>
      <c r="G16" s="39"/>
      <c r="H16" s="39"/>
      <c r="I16" s="38"/>
      <c r="L16" s="43" t="s">
        <v>108</v>
      </c>
      <c r="M16" s="20"/>
      <c r="N16" s="20"/>
      <c r="O16" s="20"/>
      <c r="P16" s="20"/>
      <c r="Q16" s="20"/>
      <c r="R16" s="20"/>
      <c r="S16" s="20"/>
      <c r="T16" s="22"/>
    </row>
    <row r="17" spans="2:20" ht="14.5" thickBot="1">
      <c r="B17" s="36" t="s">
        <v>109</v>
      </c>
      <c r="C17" s="39"/>
      <c r="D17" s="51"/>
      <c r="E17" s="51"/>
      <c r="F17" s="51"/>
      <c r="G17" s="51"/>
      <c r="H17" s="51"/>
      <c r="I17" s="38"/>
      <c r="L17" s="43" t="s">
        <v>109</v>
      </c>
      <c r="M17" s="20"/>
      <c r="N17" s="21"/>
      <c r="O17" s="21"/>
      <c r="P17" s="21"/>
      <c r="Q17" s="21"/>
      <c r="R17" s="21"/>
      <c r="S17" s="21"/>
      <c r="T17" s="22"/>
    </row>
    <row r="18" spans="2:20" ht="14.5" thickBot="1">
      <c r="B18" s="59" t="s">
        <v>46</v>
      </c>
      <c r="C18" s="40"/>
      <c r="D18" s="40"/>
      <c r="E18" s="40"/>
      <c r="F18" s="40"/>
      <c r="G18" s="40"/>
      <c r="H18" s="40"/>
      <c r="I18" s="25">
        <f>SUM(I15:I17)</f>
        <v>581015.54154523788</v>
      </c>
      <c r="L18" s="23" t="s">
        <v>46</v>
      </c>
      <c r="M18" s="24"/>
      <c r="N18" s="24"/>
      <c r="O18" s="24"/>
      <c r="P18" s="24"/>
      <c r="Q18" s="24"/>
      <c r="R18" s="24"/>
      <c r="S18" s="24"/>
      <c r="T18" s="25">
        <f>SUM(T15:T17)</f>
        <v>1260613.7443269605</v>
      </c>
    </row>
    <row r="20" spans="2:20" ht="14.5" thickBot="1"/>
    <row r="21" spans="2:20" ht="17.5">
      <c r="B21" s="770" t="s">
        <v>1111</v>
      </c>
      <c r="C21" s="299"/>
      <c r="D21" s="299"/>
      <c r="E21" s="299"/>
      <c r="F21" s="299"/>
      <c r="G21" s="299"/>
      <c r="H21" s="309"/>
      <c r="L21" s="770" t="s">
        <v>1112</v>
      </c>
      <c r="M21" s="299"/>
      <c r="N21" s="299"/>
      <c r="O21" s="299"/>
      <c r="P21" s="299"/>
      <c r="Q21" s="299"/>
      <c r="R21" s="309"/>
    </row>
    <row r="22" spans="2:20">
      <c r="B22" s="301" t="s">
        <v>433</v>
      </c>
      <c r="C22" s="302"/>
      <c r="D22" s="302" t="s">
        <v>308</v>
      </c>
      <c r="E22" s="302" t="s">
        <v>3</v>
      </c>
      <c r="F22" s="302" t="s">
        <v>306</v>
      </c>
      <c r="G22" s="302"/>
      <c r="H22" s="303"/>
      <c r="L22" s="301" t="s">
        <v>433</v>
      </c>
      <c r="M22" s="302"/>
      <c r="N22" s="302" t="s">
        <v>308</v>
      </c>
      <c r="O22" s="302" t="s">
        <v>3</v>
      </c>
      <c r="P22" s="302" t="s">
        <v>306</v>
      </c>
      <c r="Q22" s="302"/>
      <c r="R22" s="303"/>
    </row>
    <row r="23" spans="2:20">
      <c r="B23" s="362" t="s">
        <v>530</v>
      </c>
      <c r="D23" s="41" t="s">
        <v>915</v>
      </c>
      <c r="E23" s="41" t="s">
        <v>2401</v>
      </c>
      <c r="F23" s="41" t="s">
        <v>1436</v>
      </c>
      <c r="H23" s="363"/>
      <c r="I23" s="41" t="s">
        <v>43</v>
      </c>
      <c r="L23" s="391" t="s">
        <v>530</v>
      </c>
      <c r="M23" s="392"/>
      <c r="N23" s="41" t="s">
        <v>915</v>
      </c>
      <c r="O23" s="392" t="s">
        <v>2401</v>
      </c>
      <c r="P23" s="392" t="s">
        <v>1436</v>
      </c>
      <c r="Q23" s="392"/>
      <c r="R23" s="393"/>
      <c r="S23" t="s">
        <v>43</v>
      </c>
    </row>
    <row r="24" spans="2:20">
      <c r="B24" s="362" t="s">
        <v>580</v>
      </c>
      <c r="D24" s="41" t="s">
        <v>455</v>
      </c>
      <c r="E24" s="41" t="s">
        <v>1437</v>
      </c>
      <c r="H24" s="363"/>
      <c r="I24" s="41" t="s">
        <v>43</v>
      </c>
      <c r="L24" s="391" t="s">
        <v>531</v>
      </c>
      <c r="M24" s="392"/>
      <c r="N24" s="41" t="s">
        <v>915</v>
      </c>
      <c r="O24" s="392" t="s">
        <v>2402</v>
      </c>
      <c r="P24" s="392" t="s">
        <v>2403</v>
      </c>
      <c r="Q24" s="392"/>
      <c r="R24" s="393"/>
      <c r="S24" t="s">
        <v>43</v>
      </c>
    </row>
    <row r="25" spans="2:20" ht="17.149999999999999" customHeight="1">
      <c r="B25" s="362" t="s">
        <v>531</v>
      </c>
      <c r="D25" s="41" t="s">
        <v>915</v>
      </c>
      <c r="E25" s="41" t="s">
        <v>2404</v>
      </c>
      <c r="F25" s="41" t="s">
        <v>2403</v>
      </c>
      <c r="H25" s="363"/>
      <c r="I25" s="41" t="s">
        <v>43</v>
      </c>
      <c r="L25" s="391" t="s">
        <v>581</v>
      </c>
      <c r="M25" s="392"/>
      <c r="N25" s="392" t="s">
        <v>582</v>
      </c>
      <c r="O25" s="41" t="s">
        <v>1438</v>
      </c>
      <c r="P25" s="392"/>
      <c r="Q25" s="392"/>
      <c r="R25" s="393"/>
      <c r="S25" t="s">
        <v>43</v>
      </c>
    </row>
    <row r="26" spans="2:20">
      <c r="B26" s="362" t="s">
        <v>581</v>
      </c>
      <c r="D26" s="41" t="s">
        <v>582</v>
      </c>
      <c r="E26" s="41" t="s">
        <v>1438</v>
      </c>
      <c r="H26" s="363"/>
      <c r="I26" s="41" t="s">
        <v>43</v>
      </c>
      <c r="L26" s="391" t="s">
        <v>532</v>
      </c>
      <c r="M26" s="392"/>
      <c r="N26" s="41" t="s">
        <v>915</v>
      </c>
      <c r="O26" s="392" t="s">
        <v>2398</v>
      </c>
      <c r="P26" s="392"/>
      <c r="Q26" s="392"/>
      <c r="R26" s="393"/>
      <c r="S26" t="s">
        <v>43</v>
      </c>
    </row>
    <row r="27" spans="2:20">
      <c r="B27" s="362" t="s">
        <v>583</v>
      </c>
      <c r="D27" s="41" t="s">
        <v>455</v>
      </c>
      <c r="E27" s="41" t="s">
        <v>1439</v>
      </c>
      <c r="H27" s="363"/>
      <c r="I27" s="41" t="s">
        <v>43</v>
      </c>
      <c r="L27" s="391" t="s">
        <v>546</v>
      </c>
      <c r="M27" s="392"/>
      <c r="N27" s="41" t="s">
        <v>915</v>
      </c>
      <c r="O27" s="392" t="s">
        <v>547</v>
      </c>
      <c r="P27" s="392" t="s">
        <v>548</v>
      </c>
      <c r="Q27" s="392"/>
      <c r="R27" s="393"/>
      <c r="S27" t="s">
        <v>43</v>
      </c>
    </row>
    <row r="28" spans="2:20">
      <c r="B28" s="362" t="s">
        <v>584</v>
      </c>
      <c r="D28" s="41" t="s">
        <v>457</v>
      </c>
      <c r="E28" s="41" t="s">
        <v>1439</v>
      </c>
      <c r="H28" s="363"/>
      <c r="I28" s="41" t="s">
        <v>43</v>
      </c>
      <c r="L28" s="391" t="s">
        <v>585</v>
      </c>
      <c r="M28" s="392"/>
      <c r="N28" s="392" t="s">
        <v>455</v>
      </c>
      <c r="O28" s="392" t="s">
        <v>1440</v>
      </c>
      <c r="P28" s="392"/>
      <c r="Q28" s="392"/>
      <c r="R28" s="393"/>
      <c r="S28" t="s">
        <v>43</v>
      </c>
    </row>
    <row r="29" spans="2:20" ht="18" customHeight="1" thickBot="1">
      <c r="B29" s="364"/>
      <c r="C29" s="365"/>
      <c r="D29" s="365"/>
      <c r="E29" s="365"/>
      <c r="F29" s="365"/>
      <c r="G29" s="365"/>
      <c r="H29" s="366"/>
      <c r="I29" s="41" t="s">
        <v>43</v>
      </c>
      <c r="L29" s="391" t="s">
        <v>586</v>
      </c>
      <c r="M29" s="392"/>
      <c r="N29" s="392" t="s">
        <v>457</v>
      </c>
      <c r="O29" s="392" t="s">
        <v>1441</v>
      </c>
      <c r="P29" s="392"/>
      <c r="Q29" s="392"/>
      <c r="R29" s="393"/>
      <c r="S29" t="s">
        <v>43</v>
      </c>
    </row>
    <row r="30" spans="2:20" ht="14.5" thickBot="1">
      <c r="L30" s="314"/>
      <c r="M30" s="305"/>
      <c r="N30" s="305"/>
      <c r="O30" s="305"/>
      <c r="P30" s="305"/>
      <c r="Q30" s="305"/>
      <c r="R30" s="306"/>
    </row>
  </sheetData>
  <mergeCells count="27">
    <mergeCell ref="R10:R12"/>
    <mergeCell ref="T10:T12"/>
    <mergeCell ref="L9:L14"/>
    <mergeCell ref="M10:M12"/>
    <mergeCell ref="N10:N12"/>
    <mergeCell ref="O10:O12"/>
    <mergeCell ref="P10:P12"/>
    <mergeCell ref="Q10:Q12"/>
    <mergeCell ref="M4:T4"/>
    <mergeCell ref="M5:T5"/>
    <mergeCell ref="M6:T6"/>
    <mergeCell ref="M7:T7"/>
    <mergeCell ref="M8:T8"/>
    <mergeCell ref="B9:B13"/>
    <mergeCell ref="B2:G2"/>
    <mergeCell ref="D10:D11"/>
    <mergeCell ref="E10:E11"/>
    <mergeCell ref="F10:F11"/>
    <mergeCell ref="G10:G11"/>
    <mergeCell ref="C7:I7"/>
    <mergeCell ref="C8:I8"/>
    <mergeCell ref="C10:C11"/>
    <mergeCell ref="H10:H11"/>
    <mergeCell ref="C4:I4"/>
    <mergeCell ref="C5:I5"/>
    <mergeCell ref="I10:I11"/>
    <mergeCell ref="C6:I6"/>
  </mergeCells>
  <hyperlinks>
    <hyperlink ref="I2" location="INDICE!A1" display="INDICE" xr:uid="{00000000-0004-0000-0F00-000000000000}"/>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U29"/>
  <sheetViews>
    <sheetView showGridLines="0" topLeftCell="G1" zoomScale="80" zoomScaleNormal="80" workbookViewId="0">
      <selection activeCell="N15" sqref="N15"/>
    </sheetView>
  </sheetViews>
  <sheetFormatPr defaultColWidth="8" defaultRowHeight="12.5"/>
  <cols>
    <col min="1" max="1" width="8" style="171"/>
    <col min="2" max="2" width="15.33203125" style="171" customWidth="1"/>
    <col min="3" max="3" width="17.83203125" style="171" customWidth="1"/>
    <col min="4" max="6" width="15.33203125" style="171" customWidth="1"/>
    <col min="7" max="7" width="28.58203125" style="171" customWidth="1"/>
    <col min="8" max="8" width="8" style="171"/>
    <col min="9" max="9" width="11.08203125" style="171" customWidth="1"/>
    <col min="10" max="10" width="8" style="171"/>
    <col min="11" max="11" width="23.75" style="171" customWidth="1"/>
    <col min="12" max="12" width="9" style="171" customWidth="1"/>
    <col min="13" max="13" width="27.33203125" style="171" customWidth="1"/>
    <col min="14" max="14" width="7.83203125" style="171" customWidth="1"/>
    <col min="15" max="16384" width="8" style="171"/>
  </cols>
  <sheetData>
    <row r="1" spans="2:18" ht="13" thickBot="1"/>
    <row r="2" spans="2:18" ht="14.5" thickBot="1">
      <c r="B2" s="2616" t="s">
        <v>610</v>
      </c>
      <c r="C2" s="2616"/>
      <c r="D2" s="2616"/>
      <c r="E2" s="2616"/>
      <c r="F2" s="2616"/>
      <c r="G2" s="2616"/>
      <c r="H2" s="641" t="s">
        <v>898</v>
      </c>
      <c r="J2" s="373" t="s">
        <v>603</v>
      </c>
      <c r="K2" s="374"/>
      <c r="L2" s="374"/>
      <c r="M2" s="374"/>
      <c r="N2" s="375"/>
    </row>
    <row r="3" spans="2:18" ht="13.5" thickBot="1">
      <c r="J3" s="2760" t="s">
        <v>2242</v>
      </c>
      <c r="K3" s="2761"/>
      <c r="L3" s="370" t="s">
        <v>515</v>
      </c>
      <c r="M3" s="370" t="s">
        <v>594</v>
      </c>
      <c r="N3" s="371"/>
    </row>
    <row r="4" spans="2:18" ht="13" thickBot="1">
      <c r="B4" s="170" t="s">
        <v>82</v>
      </c>
      <c r="C4" s="2765" t="s">
        <v>315</v>
      </c>
      <c r="D4" s="2766"/>
      <c r="E4" s="2766"/>
      <c r="F4" s="2766"/>
      <c r="G4" s="2767"/>
      <c r="J4" s="351" t="s">
        <v>261</v>
      </c>
      <c r="K4" s="184"/>
      <c r="L4" s="350" t="s">
        <v>508</v>
      </c>
      <c r="M4" s="350" t="s">
        <v>596</v>
      </c>
      <c r="N4" s="784"/>
      <c r="O4" s="376" t="s">
        <v>43</v>
      </c>
      <c r="R4" s="491" t="s">
        <v>592</v>
      </c>
    </row>
    <row r="5" spans="2:18" ht="13" thickBot="1">
      <c r="B5" s="172" t="s">
        <v>443</v>
      </c>
      <c r="C5" s="2765" t="s">
        <v>996</v>
      </c>
      <c r="D5" s="2766"/>
      <c r="E5" s="2766"/>
      <c r="F5" s="2766"/>
      <c r="G5" s="2767"/>
      <c r="J5" s="353" t="s">
        <v>510</v>
      </c>
      <c r="K5" s="184"/>
      <c r="L5" s="350" t="s">
        <v>509</v>
      </c>
      <c r="M5" s="350" t="s">
        <v>593</v>
      </c>
      <c r="N5" s="784"/>
      <c r="O5" s="376" t="s">
        <v>43</v>
      </c>
      <c r="R5" s="491" t="s">
        <v>588</v>
      </c>
    </row>
    <row r="6" spans="2:18" ht="23.5" thickBot="1">
      <c r="B6" s="172" t="s">
        <v>427</v>
      </c>
      <c r="C6" s="2765" t="s">
        <v>259</v>
      </c>
      <c r="D6" s="2766"/>
      <c r="E6" s="2766"/>
      <c r="F6" s="2766"/>
      <c r="G6" s="2767"/>
      <c r="J6" s="351" t="s">
        <v>260</v>
      </c>
      <c r="K6" s="184"/>
      <c r="L6" s="350" t="s">
        <v>511</v>
      </c>
      <c r="M6" s="350" t="s">
        <v>593</v>
      </c>
      <c r="N6" s="784"/>
      <c r="O6" s="376" t="s">
        <v>43</v>
      </c>
      <c r="R6" s="491" t="s">
        <v>589</v>
      </c>
    </row>
    <row r="7" spans="2:18" ht="13" thickBot="1">
      <c r="B7" s="172" t="s">
        <v>461</v>
      </c>
      <c r="C7" s="2765" t="s">
        <v>597</v>
      </c>
      <c r="D7" s="2766"/>
      <c r="E7" s="2766"/>
      <c r="F7" s="2766"/>
      <c r="G7" s="2767"/>
      <c r="J7" s="353" t="s">
        <v>877</v>
      </c>
      <c r="K7" s="184"/>
      <c r="L7" s="350" t="s">
        <v>509</v>
      </c>
      <c r="M7" s="184"/>
      <c r="N7" s="784"/>
      <c r="O7" s="376" t="s">
        <v>43</v>
      </c>
      <c r="R7" s="491"/>
    </row>
    <row r="8" spans="2:18" ht="13" thickBot="1">
      <c r="B8" s="173" t="s">
        <v>429</v>
      </c>
      <c r="C8" s="2768" t="s">
        <v>895</v>
      </c>
      <c r="D8" s="2769"/>
      <c r="E8" s="2769"/>
      <c r="F8" s="2769"/>
      <c r="G8" s="2770"/>
      <c r="J8" s="353" t="s">
        <v>878</v>
      </c>
      <c r="K8" s="184"/>
      <c r="L8" s="350" t="s">
        <v>509</v>
      </c>
      <c r="M8" s="350" t="s">
        <v>879</v>
      </c>
      <c r="N8" s="784"/>
      <c r="O8" s="376" t="s">
        <v>43</v>
      </c>
      <c r="R8" s="491" t="s">
        <v>590</v>
      </c>
    </row>
    <row r="9" spans="2:18" ht="24" customHeight="1" thickBot="1">
      <c r="B9" s="2762" t="s">
        <v>598</v>
      </c>
      <c r="C9" s="174" t="s">
        <v>607</v>
      </c>
      <c r="D9" s="174" t="s">
        <v>617</v>
      </c>
      <c r="E9" s="174" t="s">
        <v>600</v>
      </c>
      <c r="F9" s="174" t="s">
        <v>601</v>
      </c>
      <c r="G9" s="174" t="s">
        <v>602</v>
      </c>
      <c r="J9" s="353" t="s">
        <v>880</v>
      </c>
      <c r="K9" s="184"/>
      <c r="L9" s="350" t="s">
        <v>509</v>
      </c>
      <c r="M9" s="350"/>
      <c r="N9" s="784"/>
      <c r="O9" s="376" t="s">
        <v>43</v>
      </c>
      <c r="R9" s="491" t="s">
        <v>591</v>
      </c>
    </row>
    <row r="10" spans="2:18" ht="25.5" thickBot="1">
      <c r="B10" s="2763"/>
      <c r="C10" s="175" t="s">
        <v>1003</v>
      </c>
      <c r="D10" s="175" t="s">
        <v>1155</v>
      </c>
      <c r="E10" s="175" t="s">
        <v>1003</v>
      </c>
      <c r="F10" s="372" t="s">
        <v>1124</v>
      </c>
      <c r="G10" s="175" t="s">
        <v>1004</v>
      </c>
      <c r="J10" s="353" t="s">
        <v>881</v>
      </c>
      <c r="K10" s="184"/>
      <c r="L10" s="350" t="s">
        <v>512</v>
      </c>
      <c r="M10" s="350" t="s">
        <v>593</v>
      </c>
      <c r="N10" s="784"/>
      <c r="O10" s="376" t="s">
        <v>43</v>
      </c>
    </row>
    <row r="11" spans="2:18" ht="27.5" thickBot="1">
      <c r="B11" s="2763"/>
      <c r="C11" s="175"/>
      <c r="D11" s="175" t="s">
        <v>1005</v>
      </c>
      <c r="E11" s="175"/>
      <c r="F11" s="175" t="s">
        <v>1006</v>
      </c>
      <c r="G11" s="174" t="s">
        <v>1125</v>
      </c>
      <c r="J11" s="353" t="s">
        <v>513</v>
      </c>
      <c r="K11" s="184"/>
      <c r="L11" s="350" t="s">
        <v>509</v>
      </c>
      <c r="M11" s="184"/>
      <c r="N11" s="784"/>
      <c r="O11" s="376" t="s">
        <v>43</v>
      </c>
    </row>
    <row r="12" spans="2:18" ht="15" customHeight="1" thickBot="1">
      <c r="B12" s="2764"/>
      <c r="C12" s="176" t="s">
        <v>997</v>
      </c>
      <c r="D12" s="176" t="s">
        <v>998</v>
      </c>
      <c r="E12" s="176" t="s">
        <v>1126</v>
      </c>
      <c r="F12" s="176" t="s">
        <v>1127</v>
      </c>
      <c r="G12" s="176" t="s">
        <v>999</v>
      </c>
      <c r="J12" s="353" t="s">
        <v>608</v>
      </c>
      <c r="K12" s="184"/>
      <c r="L12" s="350" t="s">
        <v>509</v>
      </c>
      <c r="M12" s="350" t="s">
        <v>2405</v>
      </c>
      <c r="N12" s="784"/>
      <c r="O12" s="376" t="s">
        <v>43</v>
      </c>
    </row>
    <row r="13" spans="2:18" ht="19" customHeight="1" thickTop="1" thickBot="1">
      <c r="B13" s="177" t="s">
        <v>606</v>
      </c>
      <c r="C13" s="182">
        <f>N13</f>
        <v>43920.160980973364</v>
      </c>
      <c r="D13" s="178">
        <v>0.12</v>
      </c>
      <c r="E13" s="179"/>
      <c r="F13" s="179"/>
      <c r="G13" s="183">
        <f>C13*D13</f>
        <v>5270.4193177168036</v>
      </c>
      <c r="J13" s="358" t="s">
        <v>1128</v>
      </c>
      <c r="K13" s="359"/>
      <c r="L13" s="359" t="s">
        <v>509</v>
      </c>
      <c r="M13" s="359"/>
      <c r="N13" s="360">
        <f>'Datos de Actividad'!S179</f>
        <v>43920.160980973364</v>
      </c>
      <c r="O13" s="376" t="s">
        <v>1113</v>
      </c>
    </row>
    <row r="14" spans="2:18" ht="13" thickBot="1">
      <c r="B14" s="177" t="s">
        <v>599</v>
      </c>
      <c r="C14" s="179"/>
      <c r="D14" s="179"/>
      <c r="E14" s="182">
        <f>N17</f>
        <v>4414.8599999999997</v>
      </c>
      <c r="F14" s="178">
        <v>0.13</v>
      </c>
      <c r="G14" s="183">
        <f>E14*F14</f>
        <v>573.93179999999995</v>
      </c>
      <c r="J14" s="353" t="s">
        <v>595</v>
      </c>
      <c r="K14" s="184"/>
      <c r="L14" s="350" t="s">
        <v>509</v>
      </c>
      <c r="M14" s="350" t="s">
        <v>604</v>
      </c>
      <c r="N14" s="352">
        <v>0</v>
      </c>
    </row>
    <row r="15" spans="2:18" ht="13" thickBot="1">
      <c r="B15" s="180" t="s">
        <v>46</v>
      </c>
      <c r="C15" s="179"/>
      <c r="D15" s="179"/>
      <c r="E15" s="179"/>
      <c r="F15" s="179"/>
      <c r="G15" s="183">
        <f>SUM(G13:G14)</f>
        <v>5844.3511177168039</v>
      </c>
      <c r="J15" s="353" t="s">
        <v>514</v>
      </c>
      <c r="K15" s="184"/>
      <c r="L15" s="350" t="s">
        <v>509</v>
      </c>
      <c r="M15" s="350" t="s">
        <v>2405</v>
      </c>
      <c r="N15" s="361">
        <f>'Datos de Actividad'!S180</f>
        <v>8829.7199999999993</v>
      </c>
    </row>
    <row r="16" spans="2:18">
      <c r="J16" s="351" t="s">
        <v>262</v>
      </c>
      <c r="K16" s="184"/>
      <c r="L16" s="350" t="s">
        <v>512</v>
      </c>
      <c r="M16" s="350" t="s">
        <v>593</v>
      </c>
      <c r="N16" s="354">
        <v>0.5</v>
      </c>
    </row>
    <row r="17" spans="2:21" ht="13.5" thickBot="1">
      <c r="J17" s="355" t="s">
        <v>263</v>
      </c>
      <c r="K17" s="356"/>
      <c r="L17" s="356" t="s">
        <v>509</v>
      </c>
      <c r="M17" s="356"/>
      <c r="N17" s="357">
        <f>N15*N16</f>
        <v>4414.8599999999997</v>
      </c>
    </row>
    <row r="18" spans="2:21" ht="21" customHeight="1">
      <c r="B18" s="785" t="s">
        <v>1114</v>
      </c>
      <c r="C18" s="786"/>
      <c r="D18" s="786"/>
      <c r="E18" s="786"/>
      <c r="F18" s="786"/>
      <c r="G18" s="786"/>
      <c r="H18" s="368"/>
      <c r="K18" s="294"/>
      <c r="L18" s="294"/>
      <c r="M18" s="294"/>
      <c r="N18" s="294"/>
    </row>
    <row r="19" spans="2:21">
      <c r="B19" s="301" t="s">
        <v>433</v>
      </c>
      <c r="C19" s="302"/>
      <c r="D19" s="367" t="s">
        <v>308</v>
      </c>
      <c r="E19" s="302" t="s">
        <v>3</v>
      </c>
      <c r="F19" s="302" t="s">
        <v>306</v>
      </c>
      <c r="G19" s="303"/>
      <c r="H19" s="369"/>
      <c r="K19" s="294"/>
      <c r="L19" s="294"/>
      <c r="M19" s="294"/>
      <c r="N19" s="294"/>
    </row>
    <row r="20" spans="2:21">
      <c r="B20" s="387" t="s">
        <v>615</v>
      </c>
      <c r="C20" s="388"/>
      <c r="D20" s="389" t="s">
        <v>441</v>
      </c>
      <c r="E20" s="388" t="s">
        <v>2406</v>
      </c>
      <c r="F20" s="388" t="s">
        <v>2407</v>
      </c>
      <c r="G20" s="390"/>
      <c r="H20" s="376" t="s">
        <v>43</v>
      </c>
      <c r="K20" s="294"/>
      <c r="L20" s="294"/>
      <c r="M20" s="294"/>
      <c r="N20" s="294"/>
    </row>
    <row r="21" spans="2:21">
      <c r="B21" s="387" t="s">
        <v>1129</v>
      </c>
      <c r="C21" s="388"/>
      <c r="D21" s="389" t="s">
        <v>457</v>
      </c>
      <c r="E21" s="388" t="s">
        <v>605</v>
      </c>
      <c r="F21" s="388"/>
      <c r="G21" s="390"/>
      <c r="H21" s="376" t="s">
        <v>43</v>
      </c>
      <c r="K21" s="294"/>
      <c r="L21" s="294"/>
      <c r="M21" s="294"/>
      <c r="N21" s="294"/>
    </row>
    <row r="22" spans="2:21">
      <c r="B22" s="387" t="s">
        <v>609</v>
      </c>
      <c r="C22" s="388"/>
      <c r="D22" s="389" t="s">
        <v>441</v>
      </c>
      <c r="E22" s="388" t="s">
        <v>982</v>
      </c>
      <c r="F22" s="388" t="s">
        <v>1115</v>
      </c>
      <c r="G22" s="390"/>
      <c r="H22" s="376" t="s">
        <v>43</v>
      </c>
      <c r="K22" s="294"/>
      <c r="L22" s="294"/>
      <c r="M22" s="294"/>
      <c r="N22" s="294"/>
    </row>
    <row r="23" spans="2:21">
      <c r="B23" s="387" t="s">
        <v>1129</v>
      </c>
      <c r="C23" s="388"/>
      <c r="D23" s="389" t="s">
        <v>457</v>
      </c>
      <c r="E23" s="388" t="s">
        <v>605</v>
      </c>
      <c r="F23" s="388"/>
      <c r="G23" s="390"/>
      <c r="H23" s="376" t="s">
        <v>43</v>
      </c>
      <c r="K23" s="294"/>
      <c r="L23" s="294"/>
      <c r="M23" s="294"/>
      <c r="N23" s="294"/>
    </row>
    <row r="24" spans="2:21" ht="13" thickBot="1">
      <c r="B24" s="377"/>
      <c r="C24" s="378"/>
      <c r="D24" s="378"/>
      <c r="E24" s="378"/>
      <c r="F24" s="378"/>
      <c r="G24" s="379"/>
      <c r="K24" s="294"/>
      <c r="L24" s="294"/>
      <c r="M24" s="294"/>
      <c r="N24" s="294"/>
    </row>
    <row r="25" spans="2:21" ht="12.65" customHeight="1">
      <c r="K25" s="294"/>
      <c r="L25" s="294"/>
      <c r="M25" s="294"/>
      <c r="N25" s="294"/>
      <c r="P25" s="294"/>
      <c r="Q25" s="294"/>
      <c r="R25" s="294"/>
      <c r="S25" s="294"/>
      <c r="T25" s="294"/>
      <c r="U25" s="294"/>
    </row>
    <row r="26" spans="2:21">
      <c r="K26" s="181"/>
      <c r="L26" s="181"/>
      <c r="M26" s="181"/>
      <c r="N26" s="181"/>
      <c r="P26" s="294"/>
      <c r="Q26" s="294"/>
      <c r="R26" s="294"/>
      <c r="S26" s="294"/>
      <c r="T26" s="294"/>
      <c r="U26" s="294"/>
    </row>
    <row r="27" spans="2:21" ht="16" customHeight="1">
      <c r="O27" s="294"/>
      <c r="P27" s="181"/>
      <c r="Q27" s="181"/>
      <c r="R27" s="181"/>
      <c r="S27" s="181"/>
      <c r="T27" s="181"/>
      <c r="U27" s="181"/>
    </row>
    <row r="28" spans="2:21" ht="17.5" customHeight="1">
      <c r="O28" s="294"/>
    </row>
    <row r="29" spans="2:21">
      <c r="O29" s="181"/>
    </row>
  </sheetData>
  <mergeCells count="8">
    <mergeCell ref="B2:G2"/>
    <mergeCell ref="J3:K3"/>
    <mergeCell ref="B9:B12"/>
    <mergeCell ref="C4:G4"/>
    <mergeCell ref="C5:G5"/>
    <mergeCell ref="C6:G6"/>
    <mergeCell ref="C7:G7"/>
    <mergeCell ref="C8:G8"/>
  </mergeCells>
  <hyperlinks>
    <hyperlink ref="H2" location="INDICE!A1" display="INDICE" xr:uid="{00000000-0004-0000-1000-000000000000}"/>
  </hyperlinks>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72A3-8128-4950-9811-B4BBE3E942FB}">
  <dimension ref="A37:Q383"/>
  <sheetViews>
    <sheetView topLeftCell="D229" workbookViewId="0">
      <selection activeCell="L389" sqref="L389"/>
    </sheetView>
  </sheetViews>
  <sheetFormatPr defaultColWidth="10.6640625" defaultRowHeight="14"/>
  <sheetData>
    <row r="37" spans="1:14">
      <c r="A37" t="s">
        <v>1176</v>
      </c>
      <c r="B37" t="s">
        <v>1177</v>
      </c>
      <c r="C37" t="s">
        <v>1178</v>
      </c>
      <c r="D37" t="s">
        <v>1179</v>
      </c>
      <c r="E37" t="s">
        <v>1180</v>
      </c>
      <c r="F37" t="s">
        <v>1181</v>
      </c>
      <c r="G37" t="s">
        <v>1182</v>
      </c>
      <c r="H37" t="s">
        <v>1183</v>
      </c>
      <c r="I37" t="s">
        <v>1184</v>
      </c>
      <c r="J37" t="s">
        <v>1185</v>
      </c>
      <c r="K37" t="s">
        <v>515</v>
      </c>
      <c r="L37" t="s">
        <v>1186</v>
      </c>
      <c r="M37" t="s">
        <v>1187</v>
      </c>
      <c r="N37" t="s">
        <v>1188</v>
      </c>
    </row>
    <row r="38" spans="1:14">
      <c r="A38" t="s">
        <v>1176</v>
      </c>
      <c r="B38" t="s">
        <v>1177</v>
      </c>
      <c r="C38" t="s">
        <v>1178</v>
      </c>
      <c r="D38" t="s">
        <v>1179</v>
      </c>
      <c r="E38" t="s">
        <v>1180</v>
      </c>
      <c r="F38" t="s">
        <v>1181</v>
      </c>
      <c r="G38" t="s">
        <v>1182</v>
      </c>
      <c r="H38" t="s">
        <v>1183</v>
      </c>
      <c r="I38" t="s">
        <v>1184</v>
      </c>
      <c r="J38" t="s">
        <v>1185</v>
      </c>
      <c r="K38" t="s">
        <v>515</v>
      </c>
      <c r="L38" t="s">
        <v>1186</v>
      </c>
      <c r="M38" t="s">
        <v>1187</v>
      </c>
      <c r="N38" t="s">
        <v>1188</v>
      </c>
    </row>
    <row r="39" spans="1:14">
      <c r="A39" t="s">
        <v>1798</v>
      </c>
      <c r="B39" t="s">
        <v>1799</v>
      </c>
      <c r="C39">
        <v>218</v>
      </c>
      <c r="D39" t="s">
        <v>325</v>
      </c>
      <c r="E39">
        <v>5006</v>
      </c>
      <c r="F39" t="s">
        <v>1800</v>
      </c>
      <c r="G39">
        <v>6983</v>
      </c>
      <c r="H39" t="s">
        <v>1801</v>
      </c>
      <c r="I39">
        <v>2015</v>
      </c>
      <c r="J39">
        <v>2015</v>
      </c>
      <c r="K39" t="s">
        <v>1802</v>
      </c>
      <c r="L39" t="s">
        <v>1803</v>
      </c>
      <c r="M39" t="s">
        <v>840</v>
      </c>
      <c r="N39" t="s">
        <v>1804</v>
      </c>
    </row>
    <row r="40" spans="1:14">
      <c r="A40" t="s">
        <v>1798</v>
      </c>
      <c r="B40" t="s">
        <v>1799</v>
      </c>
      <c r="C40">
        <v>218</v>
      </c>
      <c r="D40" t="s">
        <v>325</v>
      </c>
      <c r="E40">
        <v>5006</v>
      </c>
      <c r="F40" t="s">
        <v>1800</v>
      </c>
      <c r="G40">
        <v>6983</v>
      </c>
      <c r="H40" t="s">
        <v>1801</v>
      </c>
      <c r="I40">
        <v>2016</v>
      </c>
      <c r="J40">
        <v>2016</v>
      </c>
      <c r="K40" t="s">
        <v>1802</v>
      </c>
      <c r="L40" t="s">
        <v>1805</v>
      </c>
      <c r="M40" t="s">
        <v>840</v>
      </c>
      <c r="N40" t="s">
        <v>1804</v>
      </c>
    </row>
    <row r="41" spans="1:14">
      <c r="A41" t="s">
        <v>1798</v>
      </c>
      <c r="B41" t="s">
        <v>1799</v>
      </c>
      <c r="C41">
        <v>218</v>
      </c>
      <c r="D41" t="s">
        <v>325</v>
      </c>
      <c r="E41">
        <v>5006</v>
      </c>
      <c r="F41" t="s">
        <v>1800</v>
      </c>
      <c r="G41">
        <v>6983</v>
      </c>
      <c r="H41" t="s">
        <v>1801</v>
      </c>
      <c r="I41">
        <v>2017</v>
      </c>
      <c r="J41">
        <v>2017</v>
      </c>
      <c r="K41" t="s">
        <v>1802</v>
      </c>
      <c r="L41" t="s">
        <v>1806</v>
      </c>
      <c r="M41" t="s">
        <v>840</v>
      </c>
      <c r="N41" t="s">
        <v>1804</v>
      </c>
    </row>
    <row r="42" spans="1:14">
      <c r="A42" t="s">
        <v>1798</v>
      </c>
      <c r="B42" t="s">
        <v>1799</v>
      </c>
      <c r="C42">
        <v>218</v>
      </c>
      <c r="D42" t="s">
        <v>325</v>
      </c>
      <c r="E42">
        <v>5006</v>
      </c>
      <c r="F42" t="s">
        <v>1800</v>
      </c>
      <c r="G42">
        <v>6983</v>
      </c>
      <c r="H42" t="s">
        <v>1801</v>
      </c>
      <c r="I42">
        <v>2018</v>
      </c>
      <c r="J42">
        <v>2018</v>
      </c>
      <c r="K42" t="s">
        <v>1802</v>
      </c>
      <c r="L42" t="s">
        <v>1807</v>
      </c>
      <c r="M42" t="s">
        <v>840</v>
      </c>
      <c r="N42" t="s">
        <v>1804</v>
      </c>
    </row>
    <row r="43" spans="1:14">
      <c r="A43" t="s">
        <v>1798</v>
      </c>
      <c r="B43" t="s">
        <v>1799</v>
      </c>
      <c r="C43">
        <v>218</v>
      </c>
      <c r="D43" t="s">
        <v>325</v>
      </c>
      <c r="E43">
        <v>5006</v>
      </c>
      <c r="F43" t="s">
        <v>1800</v>
      </c>
      <c r="G43">
        <v>6983</v>
      </c>
      <c r="H43" t="s">
        <v>1801</v>
      </c>
      <c r="I43">
        <v>2019</v>
      </c>
      <c r="J43">
        <v>2019</v>
      </c>
      <c r="K43" t="s">
        <v>1802</v>
      </c>
      <c r="L43" t="s">
        <v>1808</v>
      </c>
      <c r="M43" t="s">
        <v>840</v>
      </c>
      <c r="N43" t="s">
        <v>1804</v>
      </c>
    </row>
    <row r="44" spans="1:14">
      <c r="A44" t="s">
        <v>1798</v>
      </c>
      <c r="B44" t="s">
        <v>1799</v>
      </c>
      <c r="C44">
        <v>218</v>
      </c>
      <c r="D44" t="s">
        <v>325</v>
      </c>
      <c r="E44">
        <v>5007</v>
      </c>
      <c r="F44" t="s">
        <v>1809</v>
      </c>
      <c r="G44">
        <v>6983</v>
      </c>
      <c r="H44" t="s">
        <v>1801</v>
      </c>
      <c r="I44">
        <v>2001</v>
      </c>
      <c r="J44">
        <v>2001</v>
      </c>
      <c r="K44" t="s">
        <v>1802</v>
      </c>
      <c r="L44" t="s">
        <v>1810</v>
      </c>
      <c r="M44" t="s">
        <v>840</v>
      </c>
      <c r="N44" t="s">
        <v>1804</v>
      </c>
    </row>
    <row r="45" spans="1:14">
      <c r="A45" t="s">
        <v>1798</v>
      </c>
      <c r="B45" t="s">
        <v>1799</v>
      </c>
      <c r="C45">
        <v>218</v>
      </c>
      <c r="D45" t="s">
        <v>325</v>
      </c>
      <c r="E45">
        <v>5007</v>
      </c>
      <c r="F45" t="s">
        <v>1809</v>
      </c>
      <c r="G45">
        <v>6983</v>
      </c>
      <c r="H45" t="s">
        <v>1801</v>
      </c>
      <c r="I45">
        <v>2002</v>
      </c>
      <c r="J45">
        <v>2002</v>
      </c>
      <c r="K45" t="s">
        <v>1802</v>
      </c>
      <c r="L45" t="s">
        <v>1811</v>
      </c>
      <c r="M45" t="s">
        <v>840</v>
      </c>
      <c r="N45" t="s">
        <v>1804</v>
      </c>
    </row>
    <row r="46" spans="1:14">
      <c r="A46" t="s">
        <v>1798</v>
      </c>
      <c r="B46" t="s">
        <v>1799</v>
      </c>
      <c r="C46">
        <v>218</v>
      </c>
      <c r="D46" t="s">
        <v>325</v>
      </c>
      <c r="E46">
        <v>5007</v>
      </c>
      <c r="F46" t="s">
        <v>1809</v>
      </c>
      <c r="G46">
        <v>6983</v>
      </c>
      <c r="H46" t="s">
        <v>1801</v>
      </c>
      <c r="I46">
        <v>2003</v>
      </c>
      <c r="J46">
        <v>2003</v>
      </c>
      <c r="K46" t="s">
        <v>1802</v>
      </c>
      <c r="L46" t="s">
        <v>1812</v>
      </c>
      <c r="M46" t="s">
        <v>840</v>
      </c>
      <c r="N46" t="s">
        <v>1804</v>
      </c>
    </row>
    <row r="47" spans="1:14">
      <c r="A47" t="s">
        <v>1798</v>
      </c>
      <c r="B47" t="s">
        <v>1799</v>
      </c>
      <c r="C47">
        <v>218</v>
      </c>
      <c r="D47" t="s">
        <v>325</v>
      </c>
      <c r="E47">
        <v>5007</v>
      </c>
      <c r="F47" t="s">
        <v>1809</v>
      </c>
      <c r="G47">
        <v>6983</v>
      </c>
      <c r="H47" t="s">
        <v>1801</v>
      </c>
      <c r="I47">
        <v>2004</v>
      </c>
      <c r="J47">
        <v>2004</v>
      </c>
      <c r="K47" t="s">
        <v>1802</v>
      </c>
      <c r="L47" t="s">
        <v>1813</v>
      </c>
      <c r="M47" t="s">
        <v>840</v>
      </c>
      <c r="N47" t="s">
        <v>1804</v>
      </c>
    </row>
    <row r="48" spans="1:14">
      <c r="A48" t="s">
        <v>1798</v>
      </c>
      <c r="B48" t="s">
        <v>1799</v>
      </c>
      <c r="C48">
        <v>218</v>
      </c>
      <c r="D48" t="s">
        <v>325</v>
      </c>
      <c r="E48">
        <v>5007</v>
      </c>
      <c r="F48" t="s">
        <v>1809</v>
      </c>
      <c r="G48">
        <v>6983</v>
      </c>
      <c r="H48" t="s">
        <v>1801</v>
      </c>
      <c r="I48">
        <v>2005</v>
      </c>
      <c r="J48">
        <v>2005</v>
      </c>
      <c r="K48" t="s">
        <v>1802</v>
      </c>
      <c r="L48" t="s">
        <v>1814</v>
      </c>
      <c r="M48" t="s">
        <v>840</v>
      </c>
      <c r="N48" t="s">
        <v>1804</v>
      </c>
    </row>
    <row r="49" spans="1:14">
      <c r="A49" t="s">
        <v>1798</v>
      </c>
      <c r="B49" t="s">
        <v>1799</v>
      </c>
      <c r="C49">
        <v>218</v>
      </c>
      <c r="D49" t="s">
        <v>325</v>
      </c>
      <c r="E49">
        <v>5007</v>
      </c>
      <c r="F49" t="s">
        <v>1809</v>
      </c>
      <c r="G49">
        <v>6983</v>
      </c>
      <c r="H49" t="s">
        <v>1801</v>
      </c>
      <c r="I49">
        <v>2006</v>
      </c>
      <c r="J49">
        <v>2006</v>
      </c>
      <c r="K49" t="s">
        <v>1802</v>
      </c>
      <c r="L49" t="s">
        <v>1815</v>
      </c>
      <c r="M49" t="s">
        <v>840</v>
      </c>
      <c r="N49" t="s">
        <v>1804</v>
      </c>
    </row>
    <row r="50" spans="1:14">
      <c r="A50" t="s">
        <v>1798</v>
      </c>
      <c r="B50" t="s">
        <v>1799</v>
      </c>
      <c r="C50">
        <v>218</v>
      </c>
      <c r="D50" t="s">
        <v>325</v>
      </c>
      <c r="E50">
        <v>5007</v>
      </c>
      <c r="F50" t="s">
        <v>1809</v>
      </c>
      <c r="G50">
        <v>6983</v>
      </c>
      <c r="H50" t="s">
        <v>1801</v>
      </c>
      <c r="I50">
        <v>2007</v>
      </c>
      <c r="J50">
        <v>2007</v>
      </c>
      <c r="K50" t="s">
        <v>1802</v>
      </c>
      <c r="L50" t="s">
        <v>1816</v>
      </c>
      <c r="M50" t="s">
        <v>840</v>
      </c>
      <c r="N50" t="s">
        <v>1804</v>
      </c>
    </row>
    <row r="51" spans="1:14">
      <c r="A51" t="s">
        <v>1798</v>
      </c>
      <c r="B51" t="s">
        <v>1799</v>
      </c>
      <c r="C51">
        <v>218</v>
      </c>
      <c r="D51" t="s">
        <v>325</v>
      </c>
      <c r="E51">
        <v>5007</v>
      </c>
      <c r="F51" t="s">
        <v>1809</v>
      </c>
      <c r="G51">
        <v>6983</v>
      </c>
      <c r="H51" t="s">
        <v>1801</v>
      </c>
      <c r="I51">
        <v>2008</v>
      </c>
      <c r="J51">
        <v>2008</v>
      </c>
      <c r="K51" t="s">
        <v>1802</v>
      </c>
      <c r="L51" t="s">
        <v>1817</v>
      </c>
      <c r="M51" t="s">
        <v>840</v>
      </c>
      <c r="N51" t="s">
        <v>1804</v>
      </c>
    </row>
    <row r="52" spans="1:14">
      <c r="A52" t="s">
        <v>1798</v>
      </c>
      <c r="B52" t="s">
        <v>1799</v>
      </c>
      <c r="C52">
        <v>218</v>
      </c>
      <c r="D52" t="s">
        <v>325</v>
      </c>
      <c r="E52">
        <v>5007</v>
      </c>
      <c r="F52" t="s">
        <v>1809</v>
      </c>
      <c r="G52">
        <v>6983</v>
      </c>
      <c r="H52" t="s">
        <v>1801</v>
      </c>
      <c r="I52">
        <v>2009</v>
      </c>
      <c r="J52">
        <v>2009</v>
      </c>
      <c r="K52" t="s">
        <v>1802</v>
      </c>
      <c r="L52" t="s">
        <v>1818</v>
      </c>
      <c r="M52" t="s">
        <v>840</v>
      </c>
      <c r="N52" t="s">
        <v>1804</v>
      </c>
    </row>
    <row r="53" spans="1:14">
      <c r="A53" t="s">
        <v>1798</v>
      </c>
      <c r="B53" t="s">
        <v>1799</v>
      </c>
      <c r="C53">
        <v>218</v>
      </c>
      <c r="D53" t="s">
        <v>325</v>
      </c>
      <c r="E53">
        <v>5007</v>
      </c>
      <c r="F53" t="s">
        <v>1809</v>
      </c>
      <c r="G53">
        <v>6983</v>
      </c>
      <c r="H53" t="s">
        <v>1801</v>
      </c>
      <c r="I53">
        <v>2010</v>
      </c>
      <c r="J53">
        <v>2010</v>
      </c>
      <c r="K53" t="s">
        <v>1802</v>
      </c>
      <c r="L53" t="s">
        <v>1819</v>
      </c>
      <c r="M53" t="s">
        <v>840</v>
      </c>
      <c r="N53" t="s">
        <v>1804</v>
      </c>
    </row>
    <row r="54" spans="1:14">
      <c r="A54" t="s">
        <v>1798</v>
      </c>
      <c r="B54" t="s">
        <v>1799</v>
      </c>
      <c r="C54">
        <v>218</v>
      </c>
      <c r="D54" t="s">
        <v>325</v>
      </c>
      <c r="E54">
        <v>5007</v>
      </c>
      <c r="F54" t="s">
        <v>1809</v>
      </c>
      <c r="G54">
        <v>6983</v>
      </c>
      <c r="H54" t="s">
        <v>1801</v>
      </c>
      <c r="I54">
        <v>2011</v>
      </c>
      <c r="J54">
        <v>2011</v>
      </c>
      <c r="K54" t="s">
        <v>1802</v>
      </c>
      <c r="L54" t="s">
        <v>1820</v>
      </c>
      <c r="M54" t="s">
        <v>840</v>
      </c>
      <c r="N54" t="s">
        <v>1804</v>
      </c>
    </row>
    <row r="55" spans="1:14">
      <c r="A55" t="s">
        <v>1798</v>
      </c>
      <c r="B55" t="s">
        <v>1799</v>
      </c>
      <c r="C55">
        <v>218</v>
      </c>
      <c r="D55" t="s">
        <v>325</v>
      </c>
      <c r="E55">
        <v>5007</v>
      </c>
      <c r="F55" t="s">
        <v>1809</v>
      </c>
      <c r="G55">
        <v>6983</v>
      </c>
      <c r="H55" t="s">
        <v>1801</v>
      </c>
      <c r="I55">
        <v>2012</v>
      </c>
      <c r="J55">
        <v>2012</v>
      </c>
      <c r="K55" t="s">
        <v>1802</v>
      </c>
      <c r="L55" t="s">
        <v>1821</v>
      </c>
      <c r="M55" t="s">
        <v>840</v>
      </c>
      <c r="N55" t="s">
        <v>1804</v>
      </c>
    </row>
    <row r="56" spans="1:14">
      <c r="A56" t="s">
        <v>1798</v>
      </c>
      <c r="B56" t="s">
        <v>1799</v>
      </c>
      <c r="C56">
        <v>218</v>
      </c>
      <c r="D56" t="s">
        <v>325</v>
      </c>
      <c r="E56">
        <v>5007</v>
      </c>
      <c r="F56" t="s">
        <v>1809</v>
      </c>
      <c r="G56">
        <v>6983</v>
      </c>
      <c r="H56" t="s">
        <v>1801</v>
      </c>
      <c r="I56">
        <v>2013</v>
      </c>
      <c r="J56">
        <v>2013</v>
      </c>
      <c r="K56" t="s">
        <v>1802</v>
      </c>
      <c r="L56" t="s">
        <v>1822</v>
      </c>
      <c r="M56" t="s">
        <v>840</v>
      </c>
      <c r="N56" t="s">
        <v>1804</v>
      </c>
    </row>
    <row r="57" spans="1:14">
      <c r="A57" t="s">
        <v>1798</v>
      </c>
      <c r="B57" t="s">
        <v>1799</v>
      </c>
      <c r="C57">
        <v>218</v>
      </c>
      <c r="D57" t="s">
        <v>325</v>
      </c>
      <c r="E57">
        <v>5007</v>
      </c>
      <c r="F57" t="s">
        <v>1809</v>
      </c>
      <c r="G57">
        <v>6983</v>
      </c>
      <c r="H57" t="s">
        <v>1801</v>
      </c>
      <c r="I57">
        <v>2014</v>
      </c>
      <c r="J57">
        <v>2014</v>
      </c>
      <c r="K57" t="s">
        <v>1802</v>
      </c>
      <c r="L57" t="s">
        <v>1823</v>
      </c>
      <c r="M57" t="s">
        <v>840</v>
      </c>
      <c r="N57" t="s">
        <v>1804</v>
      </c>
    </row>
    <row r="58" spans="1:14">
      <c r="A58" t="s">
        <v>1798</v>
      </c>
      <c r="B58" t="s">
        <v>1799</v>
      </c>
      <c r="C58">
        <v>218</v>
      </c>
      <c r="D58" t="s">
        <v>325</v>
      </c>
      <c r="E58">
        <v>5007</v>
      </c>
      <c r="F58" t="s">
        <v>1809</v>
      </c>
      <c r="G58">
        <v>6983</v>
      </c>
      <c r="H58" t="s">
        <v>1801</v>
      </c>
      <c r="I58">
        <v>2015</v>
      </c>
      <c r="J58">
        <v>2015</v>
      </c>
      <c r="K58" t="s">
        <v>1802</v>
      </c>
      <c r="L58" t="s">
        <v>1824</v>
      </c>
      <c r="M58" t="s">
        <v>840</v>
      </c>
      <c r="N58" t="s">
        <v>1804</v>
      </c>
    </row>
    <row r="59" spans="1:14">
      <c r="A59" t="s">
        <v>1798</v>
      </c>
      <c r="B59" t="s">
        <v>1799</v>
      </c>
      <c r="C59">
        <v>218</v>
      </c>
      <c r="D59" t="s">
        <v>325</v>
      </c>
      <c r="E59">
        <v>5007</v>
      </c>
      <c r="F59" t="s">
        <v>1809</v>
      </c>
      <c r="G59">
        <v>6983</v>
      </c>
      <c r="H59" t="s">
        <v>1801</v>
      </c>
      <c r="I59">
        <v>2016</v>
      </c>
      <c r="J59">
        <v>2016</v>
      </c>
      <c r="K59" t="s">
        <v>1802</v>
      </c>
      <c r="L59" t="s">
        <v>1825</v>
      </c>
      <c r="M59" t="s">
        <v>840</v>
      </c>
      <c r="N59" t="s">
        <v>1804</v>
      </c>
    </row>
    <row r="60" spans="1:14">
      <c r="A60" t="s">
        <v>1798</v>
      </c>
      <c r="B60" t="s">
        <v>1799</v>
      </c>
      <c r="C60">
        <v>218</v>
      </c>
      <c r="D60" t="s">
        <v>325</v>
      </c>
      <c r="E60">
        <v>5007</v>
      </c>
      <c r="F60" t="s">
        <v>1809</v>
      </c>
      <c r="G60">
        <v>6983</v>
      </c>
      <c r="H60" t="s">
        <v>1801</v>
      </c>
      <c r="I60">
        <v>2017</v>
      </c>
      <c r="J60">
        <v>2017</v>
      </c>
      <c r="K60" t="s">
        <v>1802</v>
      </c>
      <c r="L60" t="s">
        <v>1826</v>
      </c>
      <c r="M60" t="s">
        <v>840</v>
      </c>
      <c r="N60" t="s">
        <v>1804</v>
      </c>
    </row>
    <row r="61" spans="1:14">
      <c r="A61" t="s">
        <v>1798</v>
      </c>
      <c r="B61" t="s">
        <v>1799</v>
      </c>
      <c r="C61">
        <v>218</v>
      </c>
      <c r="D61" t="s">
        <v>325</v>
      </c>
      <c r="E61">
        <v>5007</v>
      </c>
      <c r="F61" t="s">
        <v>1809</v>
      </c>
      <c r="G61">
        <v>6983</v>
      </c>
      <c r="H61" t="s">
        <v>1801</v>
      </c>
      <c r="I61">
        <v>2018</v>
      </c>
      <c r="J61">
        <v>2018</v>
      </c>
      <c r="K61" t="s">
        <v>1802</v>
      </c>
      <c r="L61" t="s">
        <v>1827</v>
      </c>
      <c r="M61" t="s">
        <v>840</v>
      </c>
      <c r="N61" t="s">
        <v>1804</v>
      </c>
    </row>
    <row r="62" spans="1:14">
      <c r="A62" t="s">
        <v>1798</v>
      </c>
      <c r="B62" t="s">
        <v>1799</v>
      </c>
      <c r="C62">
        <v>218</v>
      </c>
      <c r="D62" t="s">
        <v>325</v>
      </c>
      <c r="E62">
        <v>5007</v>
      </c>
      <c r="F62" t="s">
        <v>1809</v>
      </c>
      <c r="G62">
        <v>6983</v>
      </c>
      <c r="H62" t="s">
        <v>1801</v>
      </c>
      <c r="I62">
        <v>2019</v>
      </c>
      <c r="J62">
        <v>2019</v>
      </c>
      <c r="K62" t="s">
        <v>1802</v>
      </c>
      <c r="L62" t="s">
        <v>1828</v>
      </c>
      <c r="M62" t="s">
        <v>840</v>
      </c>
      <c r="N62" t="s">
        <v>1804</v>
      </c>
    </row>
    <row r="63" spans="1:14">
      <c r="A63" t="s">
        <v>1798</v>
      </c>
      <c r="B63" t="s">
        <v>1799</v>
      </c>
      <c r="C63">
        <v>218</v>
      </c>
      <c r="D63" t="s">
        <v>325</v>
      </c>
      <c r="E63">
        <v>5007</v>
      </c>
      <c r="F63" t="s">
        <v>1809</v>
      </c>
      <c r="G63">
        <v>6983</v>
      </c>
      <c r="H63" t="s">
        <v>1801</v>
      </c>
      <c r="I63">
        <v>2020</v>
      </c>
      <c r="J63">
        <v>2020</v>
      </c>
      <c r="K63" t="s">
        <v>1802</v>
      </c>
      <c r="L63" t="s">
        <v>1829</v>
      </c>
      <c r="M63" t="s">
        <v>840</v>
      </c>
      <c r="N63" t="s">
        <v>1804</v>
      </c>
    </row>
    <row r="64" spans="1:14">
      <c r="A64" t="s">
        <v>1798</v>
      </c>
      <c r="B64" t="s">
        <v>1799</v>
      </c>
      <c r="C64">
        <v>218</v>
      </c>
      <c r="D64" t="s">
        <v>325</v>
      </c>
      <c r="E64">
        <v>5007</v>
      </c>
      <c r="F64" t="s">
        <v>1809</v>
      </c>
      <c r="G64">
        <v>6983</v>
      </c>
      <c r="H64" t="s">
        <v>1801</v>
      </c>
      <c r="I64">
        <v>2021</v>
      </c>
      <c r="J64">
        <v>2021</v>
      </c>
      <c r="K64" t="s">
        <v>1802</v>
      </c>
      <c r="L64" t="s">
        <v>1830</v>
      </c>
      <c r="M64" t="s">
        <v>840</v>
      </c>
      <c r="N64" t="s">
        <v>1804</v>
      </c>
    </row>
    <row r="65" spans="1:14">
      <c r="A65" t="s">
        <v>1798</v>
      </c>
      <c r="B65" t="s">
        <v>1799</v>
      </c>
      <c r="C65">
        <v>218</v>
      </c>
      <c r="D65" t="s">
        <v>325</v>
      </c>
      <c r="E65">
        <v>5008</v>
      </c>
      <c r="F65" t="s">
        <v>1831</v>
      </c>
      <c r="G65">
        <v>6983</v>
      </c>
      <c r="H65" t="s">
        <v>1801</v>
      </c>
      <c r="I65">
        <v>1992</v>
      </c>
      <c r="J65">
        <v>1992</v>
      </c>
      <c r="K65" t="s">
        <v>1802</v>
      </c>
      <c r="L65" t="s">
        <v>1832</v>
      </c>
      <c r="M65" t="s">
        <v>840</v>
      </c>
      <c r="N65" t="s">
        <v>1804</v>
      </c>
    </row>
    <row r="66" spans="1:14">
      <c r="A66" t="s">
        <v>1798</v>
      </c>
      <c r="B66" t="s">
        <v>1799</v>
      </c>
      <c r="C66">
        <v>218</v>
      </c>
      <c r="D66" t="s">
        <v>325</v>
      </c>
      <c r="E66">
        <v>5008</v>
      </c>
      <c r="F66" t="s">
        <v>1831</v>
      </c>
      <c r="G66">
        <v>6983</v>
      </c>
      <c r="H66" t="s">
        <v>1801</v>
      </c>
      <c r="I66">
        <v>1993</v>
      </c>
      <c r="J66">
        <v>1993</v>
      </c>
      <c r="K66" t="s">
        <v>1802</v>
      </c>
      <c r="L66">
        <v>1837</v>
      </c>
      <c r="M66" t="s">
        <v>840</v>
      </c>
      <c r="N66" t="s">
        <v>1804</v>
      </c>
    </row>
    <row r="67" spans="1:14">
      <c r="A67" t="s">
        <v>1798</v>
      </c>
      <c r="B67" t="s">
        <v>1799</v>
      </c>
      <c r="C67">
        <v>218</v>
      </c>
      <c r="D67" t="s">
        <v>325</v>
      </c>
      <c r="E67">
        <v>5008</v>
      </c>
      <c r="F67" t="s">
        <v>1831</v>
      </c>
      <c r="G67">
        <v>6983</v>
      </c>
      <c r="H67" t="s">
        <v>1801</v>
      </c>
      <c r="I67">
        <v>1994</v>
      </c>
      <c r="J67">
        <v>1994</v>
      </c>
      <c r="K67" t="s">
        <v>1802</v>
      </c>
      <c r="L67" t="s">
        <v>1833</v>
      </c>
      <c r="M67" t="s">
        <v>840</v>
      </c>
      <c r="N67" t="s">
        <v>1804</v>
      </c>
    </row>
    <row r="68" spans="1:14">
      <c r="A68" t="s">
        <v>1798</v>
      </c>
      <c r="B68" t="s">
        <v>1799</v>
      </c>
      <c r="C68">
        <v>218</v>
      </c>
      <c r="D68" t="s">
        <v>325</v>
      </c>
      <c r="E68">
        <v>5008</v>
      </c>
      <c r="F68" t="s">
        <v>1831</v>
      </c>
      <c r="G68">
        <v>6983</v>
      </c>
      <c r="H68" t="s">
        <v>1801</v>
      </c>
      <c r="I68">
        <v>1995</v>
      </c>
      <c r="J68">
        <v>1995</v>
      </c>
      <c r="K68" t="s">
        <v>1802</v>
      </c>
      <c r="L68" t="s">
        <v>1834</v>
      </c>
      <c r="M68" t="s">
        <v>840</v>
      </c>
      <c r="N68" t="s">
        <v>1804</v>
      </c>
    </row>
    <row r="69" spans="1:14">
      <c r="A69" t="s">
        <v>1798</v>
      </c>
      <c r="B69" t="s">
        <v>1799</v>
      </c>
      <c r="C69">
        <v>218</v>
      </c>
      <c r="D69" t="s">
        <v>325</v>
      </c>
      <c r="E69">
        <v>5008</v>
      </c>
      <c r="F69" t="s">
        <v>1831</v>
      </c>
      <c r="G69">
        <v>6983</v>
      </c>
      <c r="H69" t="s">
        <v>1801</v>
      </c>
      <c r="I69">
        <v>1996</v>
      </c>
      <c r="J69">
        <v>1996</v>
      </c>
      <c r="K69" t="s">
        <v>1802</v>
      </c>
      <c r="L69" t="s">
        <v>1835</v>
      </c>
      <c r="M69" t="s">
        <v>840</v>
      </c>
      <c r="N69" t="s">
        <v>1804</v>
      </c>
    </row>
    <row r="70" spans="1:14">
      <c r="A70" t="s">
        <v>1798</v>
      </c>
      <c r="B70" t="s">
        <v>1799</v>
      </c>
      <c r="C70">
        <v>218</v>
      </c>
      <c r="D70" t="s">
        <v>325</v>
      </c>
      <c r="E70">
        <v>5008</v>
      </c>
      <c r="F70" t="s">
        <v>1831</v>
      </c>
      <c r="G70">
        <v>6983</v>
      </c>
      <c r="H70" t="s">
        <v>1801</v>
      </c>
      <c r="I70">
        <v>1997</v>
      </c>
      <c r="J70">
        <v>1997</v>
      </c>
      <c r="K70" t="s">
        <v>1802</v>
      </c>
      <c r="L70" t="s">
        <v>1836</v>
      </c>
      <c r="M70" t="s">
        <v>840</v>
      </c>
      <c r="N70" t="s">
        <v>1804</v>
      </c>
    </row>
    <row r="71" spans="1:14">
      <c r="A71" t="s">
        <v>1798</v>
      </c>
      <c r="B71" t="s">
        <v>1799</v>
      </c>
      <c r="C71">
        <v>218</v>
      </c>
      <c r="D71" t="s">
        <v>325</v>
      </c>
      <c r="E71">
        <v>5008</v>
      </c>
      <c r="F71" t="s">
        <v>1831</v>
      </c>
      <c r="G71">
        <v>6983</v>
      </c>
      <c r="H71" t="s">
        <v>1801</v>
      </c>
      <c r="I71">
        <v>1998</v>
      </c>
      <c r="J71">
        <v>1998</v>
      </c>
      <c r="K71" t="s">
        <v>1802</v>
      </c>
      <c r="L71" t="s">
        <v>1837</v>
      </c>
      <c r="M71" t="s">
        <v>840</v>
      </c>
      <c r="N71" t="s">
        <v>1804</v>
      </c>
    </row>
    <row r="72" spans="1:14">
      <c r="A72" t="s">
        <v>1798</v>
      </c>
      <c r="B72" t="s">
        <v>1799</v>
      </c>
      <c r="C72">
        <v>218</v>
      </c>
      <c r="D72" t="s">
        <v>325</v>
      </c>
      <c r="E72">
        <v>5008</v>
      </c>
      <c r="F72" t="s">
        <v>1831</v>
      </c>
      <c r="G72">
        <v>6983</v>
      </c>
      <c r="H72" t="s">
        <v>1801</v>
      </c>
      <c r="I72">
        <v>1999</v>
      </c>
      <c r="J72">
        <v>1999</v>
      </c>
      <c r="K72" t="s">
        <v>1802</v>
      </c>
      <c r="L72" t="s">
        <v>1838</v>
      </c>
      <c r="M72" t="s">
        <v>840</v>
      </c>
      <c r="N72" t="s">
        <v>1804</v>
      </c>
    </row>
    <row r="73" spans="1:14">
      <c r="A73" t="s">
        <v>1798</v>
      </c>
      <c r="B73" t="s">
        <v>1799</v>
      </c>
      <c r="C73">
        <v>218</v>
      </c>
      <c r="D73" t="s">
        <v>325</v>
      </c>
      <c r="E73">
        <v>5008</v>
      </c>
      <c r="F73" t="s">
        <v>1831</v>
      </c>
      <c r="G73">
        <v>6983</v>
      </c>
      <c r="H73" t="s">
        <v>1801</v>
      </c>
      <c r="I73">
        <v>2000</v>
      </c>
      <c r="J73">
        <v>2000</v>
      </c>
      <c r="K73" t="s">
        <v>1802</v>
      </c>
      <c r="L73" t="s">
        <v>1839</v>
      </c>
      <c r="M73" t="s">
        <v>840</v>
      </c>
      <c r="N73" t="s">
        <v>1804</v>
      </c>
    </row>
    <row r="74" spans="1:14">
      <c r="A74" t="s">
        <v>1798</v>
      </c>
      <c r="B74" t="s">
        <v>1799</v>
      </c>
      <c r="C74">
        <v>218</v>
      </c>
      <c r="D74" t="s">
        <v>325</v>
      </c>
      <c r="E74">
        <v>5008</v>
      </c>
      <c r="F74" t="s">
        <v>1831</v>
      </c>
      <c r="G74">
        <v>6983</v>
      </c>
      <c r="H74" t="s">
        <v>1801</v>
      </c>
      <c r="I74">
        <v>2001</v>
      </c>
      <c r="J74">
        <v>2001</v>
      </c>
      <c r="K74" t="s">
        <v>1802</v>
      </c>
      <c r="L74" t="s">
        <v>1840</v>
      </c>
      <c r="M74" t="s">
        <v>840</v>
      </c>
      <c r="N74" t="s">
        <v>1804</v>
      </c>
    </row>
    <row r="75" spans="1:14">
      <c r="A75" t="s">
        <v>1798</v>
      </c>
      <c r="B75" t="s">
        <v>1799</v>
      </c>
      <c r="C75">
        <v>218</v>
      </c>
      <c r="D75" t="s">
        <v>325</v>
      </c>
      <c r="E75">
        <v>5008</v>
      </c>
      <c r="F75" t="s">
        <v>1831</v>
      </c>
      <c r="G75">
        <v>6983</v>
      </c>
      <c r="H75" t="s">
        <v>1801</v>
      </c>
      <c r="I75">
        <v>2002</v>
      </c>
      <c r="J75">
        <v>2002</v>
      </c>
      <c r="K75" t="s">
        <v>1802</v>
      </c>
      <c r="L75" t="s">
        <v>1841</v>
      </c>
      <c r="M75" t="s">
        <v>840</v>
      </c>
      <c r="N75" t="s">
        <v>1804</v>
      </c>
    </row>
    <row r="76" spans="1:14">
      <c r="A76" t="s">
        <v>1798</v>
      </c>
      <c r="B76" t="s">
        <v>1799</v>
      </c>
      <c r="C76">
        <v>218</v>
      </c>
      <c r="D76" t="s">
        <v>325</v>
      </c>
      <c r="E76">
        <v>5008</v>
      </c>
      <c r="F76" t="s">
        <v>1831</v>
      </c>
      <c r="G76">
        <v>6983</v>
      </c>
      <c r="H76" t="s">
        <v>1801</v>
      </c>
      <c r="I76">
        <v>2003</v>
      </c>
      <c r="J76">
        <v>2003</v>
      </c>
      <c r="K76" t="s">
        <v>1802</v>
      </c>
      <c r="L76" t="s">
        <v>1842</v>
      </c>
      <c r="M76" t="s">
        <v>840</v>
      </c>
      <c r="N76" t="s">
        <v>1804</v>
      </c>
    </row>
    <row r="77" spans="1:14">
      <c r="A77" t="s">
        <v>1798</v>
      </c>
      <c r="B77" t="s">
        <v>1799</v>
      </c>
      <c r="C77">
        <v>218</v>
      </c>
      <c r="D77" t="s">
        <v>325</v>
      </c>
      <c r="E77">
        <v>5008</v>
      </c>
      <c r="F77" t="s">
        <v>1831</v>
      </c>
      <c r="G77">
        <v>6983</v>
      </c>
      <c r="H77" t="s">
        <v>1801</v>
      </c>
      <c r="I77">
        <v>2004</v>
      </c>
      <c r="J77">
        <v>2004</v>
      </c>
      <c r="K77" t="s">
        <v>1802</v>
      </c>
      <c r="L77" t="s">
        <v>1843</v>
      </c>
      <c r="M77" t="s">
        <v>840</v>
      </c>
      <c r="N77" t="s">
        <v>1804</v>
      </c>
    </row>
    <row r="78" spans="1:14">
      <c r="A78" t="s">
        <v>1798</v>
      </c>
      <c r="B78" t="s">
        <v>1799</v>
      </c>
      <c r="C78">
        <v>218</v>
      </c>
      <c r="D78" t="s">
        <v>325</v>
      </c>
      <c r="E78">
        <v>5008</v>
      </c>
      <c r="F78" t="s">
        <v>1831</v>
      </c>
      <c r="G78">
        <v>6983</v>
      </c>
      <c r="H78" t="s">
        <v>1801</v>
      </c>
      <c r="I78">
        <v>2005</v>
      </c>
      <c r="J78">
        <v>2005</v>
      </c>
      <c r="K78" t="s">
        <v>1802</v>
      </c>
      <c r="L78" t="s">
        <v>1844</v>
      </c>
      <c r="M78" t="s">
        <v>840</v>
      </c>
      <c r="N78" t="s">
        <v>1804</v>
      </c>
    </row>
    <row r="79" spans="1:14">
      <c r="A79" t="s">
        <v>1798</v>
      </c>
      <c r="B79" t="s">
        <v>1799</v>
      </c>
      <c r="C79">
        <v>218</v>
      </c>
      <c r="D79" t="s">
        <v>325</v>
      </c>
      <c r="E79">
        <v>5008</v>
      </c>
      <c r="F79" t="s">
        <v>1831</v>
      </c>
      <c r="G79">
        <v>6983</v>
      </c>
      <c r="H79" t="s">
        <v>1801</v>
      </c>
      <c r="I79">
        <v>2006</v>
      </c>
      <c r="J79">
        <v>2006</v>
      </c>
      <c r="K79" t="s">
        <v>1802</v>
      </c>
      <c r="L79" t="s">
        <v>1845</v>
      </c>
      <c r="M79" t="s">
        <v>840</v>
      </c>
      <c r="N79" t="s">
        <v>1804</v>
      </c>
    </row>
    <row r="80" spans="1:14">
      <c r="A80" t="s">
        <v>1798</v>
      </c>
      <c r="B80" t="s">
        <v>1799</v>
      </c>
      <c r="C80">
        <v>218</v>
      </c>
      <c r="D80" t="s">
        <v>325</v>
      </c>
      <c r="E80">
        <v>5008</v>
      </c>
      <c r="F80" t="s">
        <v>1831</v>
      </c>
      <c r="G80">
        <v>6983</v>
      </c>
      <c r="H80" t="s">
        <v>1801</v>
      </c>
      <c r="I80">
        <v>2007</v>
      </c>
      <c r="J80">
        <v>2007</v>
      </c>
      <c r="K80" t="s">
        <v>1802</v>
      </c>
      <c r="L80" t="s">
        <v>1846</v>
      </c>
      <c r="M80" t="s">
        <v>840</v>
      </c>
      <c r="N80" t="s">
        <v>1804</v>
      </c>
    </row>
    <row r="81" spans="1:14">
      <c r="A81" t="s">
        <v>1798</v>
      </c>
      <c r="B81" t="s">
        <v>1799</v>
      </c>
      <c r="C81">
        <v>218</v>
      </c>
      <c r="D81" t="s">
        <v>325</v>
      </c>
      <c r="E81">
        <v>5008</v>
      </c>
      <c r="F81" t="s">
        <v>1831</v>
      </c>
      <c r="G81">
        <v>6983</v>
      </c>
      <c r="H81" t="s">
        <v>1801</v>
      </c>
      <c r="I81">
        <v>2008</v>
      </c>
      <c r="J81">
        <v>2008</v>
      </c>
      <c r="K81" t="s">
        <v>1802</v>
      </c>
      <c r="L81" t="s">
        <v>1847</v>
      </c>
      <c r="M81" t="s">
        <v>840</v>
      </c>
      <c r="N81" t="s">
        <v>1804</v>
      </c>
    </row>
    <row r="82" spans="1:14">
      <c r="A82" t="s">
        <v>1798</v>
      </c>
      <c r="B82" t="s">
        <v>1799</v>
      </c>
      <c r="C82">
        <v>218</v>
      </c>
      <c r="D82" t="s">
        <v>325</v>
      </c>
      <c r="E82">
        <v>5008</v>
      </c>
      <c r="F82" t="s">
        <v>1831</v>
      </c>
      <c r="G82">
        <v>6983</v>
      </c>
      <c r="H82" t="s">
        <v>1801</v>
      </c>
      <c r="I82">
        <v>2009</v>
      </c>
      <c r="J82">
        <v>2009</v>
      </c>
      <c r="K82" t="s">
        <v>1802</v>
      </c>
      <c r="L82" t="s">
        <v>1848</v>
      </c>
      <c r="M82" t="s">
        <v>840</v>
      </c>
      <c r="N82" t="s">
        <v>1804</v>
      </c>
    </row>
    <row r="83" spans="1:14">
      <c r="A83" t="s">
        <v>1798</v>
      </c>
      <c r="B83" t="s">
        <v>1799</v>
      </c>
      <c r="C83">
        <v>218</v>
      </c>
      <c r="D83" t="s">
        <v>325</v>
      </c>
      <c r="E83">
        <v>5008</v>
      </c>
      <c r="F83" t="s">
        <v>1831</v>
      </c>
      <c r="G83">
        <v>6983</v>
      </c>
      <c r="H83" t="s">
        <v>1801</v>
      </c>
      <c r="I83">
        <v>2010</v>
      </c>
      <c r="J83">
        <v>2010</v>
      </c>
      <c r="K83" t="s">
        <v>1802</v>
      </c>
      <c r="L83" t="s">
        <v>1849</v>
      </c>
      <c r="M83" t="s">
        <v>840</v>
      </c>
      <c r="N83" t="s">
        <v>1804</v>
      </c>
    </row>
    <row r="84" spans="1:14">
      <c r="A84" t="s">
        <v>1798</v>
      </c>
      <c r="B84" t="s">
        <v>1799</v>
      </c>
      <c r="C84">
        <v>218</v>
      </c>
      <c r="D84" t="s">
        <v>325</v>
      </c>
      <c r="E84">
        <v>5008</v>
      </c>
      <c r="F84" t="s">
        <v>1831</v>
      </c>
      <c r="G84">
        <v>6983</v>
      </c>
      <c r="H84" t="s">
        <v>1801</v>
      </c>
      <c r="I84">
        <v>2011</v>
      </c>
      <c r="J84">
        <v>2011</v>
      </c>
      <c r="K84" t="s">
        <v>1802</v>
      </c>
      <c r="L84" t="s">
        <v>1850</v>
      </c>
      <c r="M84" t="s">
        <v>840</v>
      </c>
      <c r="N84" t="s">
        <v>1804</v>
      </c>
    </row>
    <row r="85" spans="1:14">
      <c r="A85" t="s">
        <v>1798</v>
      </c>
      <c r="B85" t="s">
        <v>1799</v>
      </c>
      <c r="C85">
        <v>218</v>
      </c>
      <c r="D85" t="s">
        <v>325</v>
      </c>
      <c r="E85">
        <v>5008</v>
      </c>
      <c r="F85" t="s">
        <v>1831</v>
      </c>
      <c r="G85">
        <v>6983</v>
      </c>
      <c r="H85" t="s">
        <v>1801</v>
      </c>
      <c r="I85">
        <v>2012</v>
      </c>
      <c r="J85">
        <v>2012</v>
      </c>
      <c r="K85" t="s">
        <v>1802</v>
      </c>
      <c r="L85" t="s">
        <v>1851</v>
      </c>
      <c r="M85" t="s">
        <v>840</v>
      </c>
      <c r="N85" t="s">
        <v>1804</v>
      </c>
    </row>
    <row r="86" spans="1:14">
      <c r="A86" t="s">
        <v>1798</v>
      </c>
      <c r="B86" t="s">
        <v>1799</v>
      </c>
      <c r="C86">
        <v>218</v>
      </c>
      <c r="D86" t="s">
        <v>325</v>
      </c>
      <c r="E86">
        <v>5008</v>
      </c>
      <c r="F86" t="s">
        <v>1831</v>
      </c>
      <c r="G86">
        <v>6983</v>
      </c>
      <c r="H86" t="s">
        <v>1801</v>
      </c>
      <c r="I86">
        <v>2013</v>
      </c>
      <c r="J86">
        <v>2013</v>
      </c>
      <c r="K86" t="s">
        <v>1802</v>
      </c>
      <c r="L86" t="s">
        <v>1852</v>
      </c>
      <c r="M86" t="s">
        <v>840</v>
      </c>
      <c r="N86" t="s">
        <v>1804</v>
      </c>
    </row>
    <row r="87" spans="1:14">
      <c r="A87" t="s">
        <v>1798</v>
      </c>
      <c r="B87" t="s">
        <v>1799</v>
      </c>
      <c r="C87">
        <v>218</v>
      </c>
      <c r="D87" t="s">
        <v>325</v>
      </c>
      <c r="E87">
        <v>5008</v>
      </c>
      <c r="F87" t="s">
        <v>1831</v>
      </c>
      <c r="G87">
        <v>6983</v>
      </c>
      <c r="H87" t="s">
        <v>1801</v>
      </c>
      <c r="I87">
        <v>2014</v>
      </c>
      <c r="J87">
        <v>2014</v>
      </c>
      <c r="K87" t="s">
        <v>1802</v>
      </c>
      <c r="L87" t="s">
        <v>1853</v>
      </c>
      <c r="M87" t="s">
        <v>840</v>
      </c>
      <c r="N87" t="s">
        <v>1804</v>
      </c>
    </row>
    <row r="88" spans="1:14">
      <c r="A88" t="s">
        <v>1798</v>
      </c>
      <c r="B88" t="s">
        <v>1799</v>
      </c>
      <c r="C88">
        <v>218</v>
      </c>
      <c r="D88" t="s">
        <v>325</v>
      </c>
      <c r="E88">
        <v>5008</v>
      </c>
      <c r="F88" t="s">
        <v>1831</v>
      </c>
      <c r="G88">
        <v>6983</v>
      </c>
      <c r="H88" t="s">
        <v>1801</v>
      </c>
      <c r="I88">
        <v>2015</v>
      </c>
      <c r="J88">
        <v>2015</v>
      </c>
      <c r="K88" t="s">
        <v>1802</v>
      </c>
      <c r="L88" t="s">
        <v>1854</v>
      </c>
      <c r="M88" t="s">
        <v>840</v>
      </c>
      <c r="N88" t="s">
        <v>1804</v>
      </c>
    </row>
    <row r="89" spans="1:14">
      <c r="A89" t="s">
        <v>1798</v>
      </c>
      <c r="B89" t="s">
        <v>1799</v>
      </c>
      <c r="C89">
        <v>218</v>
      </c>
      <c r="D89" t="s">
        <v>325</v>
      </c>
      <c r="E89">
        <v>5008</v>
      </c>
      <c r="F89" t="s">
        <v>1831</v>
      </c>
      <c r="G89">
        <v>6983</v>
      </c>
      <c r="H89" t="s">
        <v>1801</v>
      </c>
      <c r="I89">
        <v>2016</v>
      </c>
      <c r="J89">
        <v>2016</v>
      </c>
      <c r="K89" t="s">
        <v>1802</v>
      </c>
      <c r="L89" t="s">
        <v>1855</v>
      </c>
      <c r="M89" t="s">
        <v>840</v>
      </c>
      <c r="N89" t="s">
        <v>1804</v>
      </c>
    </row>
    <row r="90" spans="1:14">
      <c r="A90" t="s">
        <v>1798</v>
      </c>
      <c r="B90" t="s">
        <v>1799</v>
      </c>
      <c r="C90">
        <v>218</v>
      </c>
      <c r="D90" t="s">
        <v>325</v>
      </c>
      <c r="E90">
        <v>5008</v>
      </c>
      <c r="F90" t="s">
        <v>1831</v>
      </c>
      <c r="G90">
        <v>6983</v>
      </c>
      <c r="H90" t="s">
        <v>1801</v>
      </c>
      <c r="I90">
        <v>2017</v>
      </c>
      <c r="J90">
        <v>2017</v>
      </c>
      <c r="K90" t="s">
        <v>1802</v>
      </c>
      <c r="L90" t="s">
        <v>1856</v>
      </c>
      <c r="M90" t="s">
        <v>840</v>
      </c>
      <c r="N90" t="s">
        <v>1804</v>
      </c>
    </row>
    <row r="91" spans="1:14">
      <c r="A91" t="s">
        <v>1798</v>
      </c>
      <c r="B91" t="s">
        <v>1799</v>
      </c>
      <c r="C91">
        <v>218</v>
      </c>
      <c r="D91" t="s">
        <v>325</v>
      </c>
      <c r="E91">
        <v>5008</v>
      </c>
      <c r="F91" t="s">
        <v>1831</v>
      </c>
      <c r="G91">
        <v>6983</v>
      </c>
      <c r="H91" t="s">
        <v>1801</v>
      </c>
      <c r="I91">
        <v>2018</v>
      </c>
      <c r="J91">
        <v>2018</v>
      </c>
      <c r="K91" t="s">
        <v>1802</v>
      </c>
      <c r="L91" t="s">
        <v>1857</v>
      </c>
      <c r="M91" t="s">
        <v>840</v>
      </c>
      <c r="N91" t="s">
        <v>1804</v>
      </c>
    </row>
    <row r="92" spans="1:14">
      <c r="A92" t="s">
        <v>1798</v>
      </c>
      <c r="B92" t="s">
        <v>1799</v>
      </c>
      <c r="C92">
        <v>218</v>
      </c>
      <c r="D92" t="s">
        <v>325</v>
      </c>
      <c r="E92">
        <v>5008</v>
      </c>
      <c r="F92" t="s">
        <v>1831</v>
      </c>
      <c r="G92">
        <v>6983</v>
      </c>
      <c r="H92" t="s">
        <v>1801</v>
      </c>
      <c r="I92">
        <v>2019</v>
      </c>
      <c r="J92">
        <v>2019</v>
      </c>
      <c r="K92" t="s">
        <v>1802</v>
      </c>
      <c r="L92" t="s">
        <v>1858</v>
      </c>
      <c r="M92" t="s">
        <v>840</v>
      </c>
      <c r="N92" t="s">
        <v>1804</v>
      </c>
    </row>
    <row r="93" spans="1:14">
      <c r="A93" t="s">
        <v>1798</v>
      </c>
      <c r="B93" t="s">
        <v>1799</v>
      </c>
      <c r="C93">
        <v>218</v>
      </c>
      <c r="D93" t="s">
        <v>325</v>
      </c>
      <c r="E93">
        <v>5008</v>
      </c>
      <c r="F93" t="s">
        <v>1831</v>
      </c>
      <c r="G93">
        <v>6983</v>
      </c>
      <c r="H93" t="s">
        <v>1801</v>
      </c>
      <c r="I93">
        <v>2020</v>
      </c>
      <c r="J93">
        <v>2020</v>
      </c>
      <c r="K93" t="s">
        <v>1802</v>
      </c>
      <c r="L93" t="s">
        <v>1859</v>
      </c>
      <c r="M93" t="s">
        <v>840</v>
      </c>
      <c r="N93" t="s">
        <v>1804</v>
      </c>
    </row>
    <row r="94" spans="1:14">
      <c r="A94" t="s">
        <v>1798</v>
      </c>
      <c r="B94" t="s">
        <v>1799</v>
      </c>
      <c r="C94">
        <v>218</v>
      </c>
      <c r="D94" t="s">
        <v>325</v>
      </c>
      <c r="E94">
        <v>5013</v>
      </c>
      <c r="F94" t="s">
        <v>1860</v>
      </c>
      <c r="G94">
        <v>6983</v>
      </c>
      <c r="H94" t="s">
        <v>1801</v>
      </c>
      <c r="I94">
        <v>2020</v>
      </c>
      <c r="J94">
        <v>2020</v>
      </c>
      <c r="K94" t="s">
        <v>1802</v>
      </c>
      <c r="L94" t="s">
        <v>1861</v>
      </c>
      <c r="M94" t="s">
        <v>840</v>
      </c>
      <c r="N94" t="s">
        <v>1804</v>
      </c>
    </row>
    <row r="95" spans="1:14">
      <c r="A95" t="s">
        <v>1798</v>
      </c>
      <c r="B95" t="s">
        <v>1799</v>
      </c>
      <c r="C95">
        <v>218</v>
      </c>
      <c r="D95" t="s">
        <v>325</v>
      </c>
      <c r="E95">
        <v>5013</v>
      </c>
      <c r="F95" t="s">
        <v>1860</v>
      </c>
      <c r="G95">
        <v>6983</v>
      </c>
      <c r="H95" t="s">
        <v>1801</v>
      </c>
      <c r="I95">
        <v>2021</v>
      </c>
      <c r="J95">
        <v>2021</v>
      </c>
      <c r="K95" t="s">
        <v>1802</v>
      </c>
      <c r="L95" t="s">
        <v>1862</v>
      </c>
      <c r="M95" t="s">
        <v>840</v>
      </c>
      <c r="N95" t="s">
        <v>1804</v>
      </c>
    </row>
    <row r="96" spans="1:14">
      <c r="A96" t="s">
        <v>1863</v>
      </c>
    </row>
    <row r="110" spans="1:17" ht="14.5" thickBot="1">
      <c r="A110" s="791" t="s">
        <v>1176</v>
      </c>
      <c r="B110" s="792" t="s">
        <v>1177</v>
      </c>
      <c r="C110" s="792" t="s">
        <v>1178</v>
      </c>
      <c r="D110" s="792" t="s">
        <v>1179</v>
      </c>
      <c r="E110" s="792" t="s">
        <v>1180</v>
      </c>
      <c r="F110" s="792" t="s">
        <v>1181</v>
      </c>
      <c r="G110" s="792" t="s">
        <v>1182</v>
      </c>
      <c r="H110" s="792" t="s">
        <v>1183</v>
      </c>
      <c r="I110" s="792" t="s">
        <v>1184</v>
      </c>
      <c r="J110" s="792" t="s">
        <v>1185</v>
      </c>
      <c r="K110" s="792" t="s">
        <v>1864</v>
      </c>
      <c r="L110" s="792" t="s">
        <v>3</v>
      </c>
      <c r="M110" s="792" t="s">
        <v>515</v>
      </c>
      <c r="N110" s="793" t="s">
        <v>1186</v>
      </c>
      <c r="O110" s="792" t="s">
        <v>1187</v>
      </c>
      <c r="P110" s="792" t="s">
        <v>1188</v>
      </c>
      <c r="Q110" s="792" t="s">
        <v>1189</v>
      </c>
    </row>
    <row r="111" spans="1:17" ht="14.5" thickBot="1">
      <c r="A111" s="791" t="s">
        <v>1176</v>
      </c>
      <c r="B111" s="792" t="s">
        <v>1177</v>
      </c>
      <c r="C111" s="792" t="s">
        <v>1178</v>
      </c>
      <c r="D111" s="792" t="s">
        <v>1179</v>
      </c>
      <c r="E111" s="792" t="s">
        <v>1180</v>
      </c>
      <c r="F111" s="792" t="s">
        <v>1181</v>
      </c>
      <c r="G111" s="792" t="s">
        <v>1182</v>
      </c>
      <c r="H111" s="792" t="s">
        <v>1183</v>
      </c>
      <c r="I111" s="792" t="s">
        <v>1184</v>
      </c>
      <c r="J111" s="792" t="s">
        <v>1185</v>
      </c>
      <c r="K111" s="792" t="s">
        <v>1864</v>
      </c>
      <c r="L111" s="792" t="s">
        <v>3</v>
      </c>
      <c r="M111" s="792" t="s">
        <v>515</v>
      </c>
      <c r="N111" s="793" t="s">
        <v>1186</v>
      </c>
      <c r="O111" s="792" t="s">
        <v>1187</v>
      </c>
      <c r="P111" s="792" t="s">
        <v>1188</v>
      </c>
      <c r="Q111" s="792" t="s">
        <v>1189</v>
      </c>
    </row>
    <row r="112" spans="1:17" ht="24.5" thickBot="1">
      <c r="A112" s="794" t="s">
        <v>1865</v>
      </c>
      <c r="B112" s="795" t="s">
        <v>1866</v>
      </c>
      <c r="C112" s="795">
        <v>218</v>
      </c>
      <c r="D112" s="795" t="s">
        <v>325</v>
      </c>
      <c r="E112" s="795">
        <v>7246</v>
      </c>
      <c r="F112" s="795" t="s">
        <v>1047</v>
      </c>
      <c r="G112" s="795">
        <v>6791</v>
      </c>
      <c r="H112" s="795" t="s">
        <v>1867</v>
      </c>
      <c r="I112" s="795">
        <v>1990</v>
      </c>
      <c r="J112" s="795">
        <v>1990</v>
      </c>
      <c r="K112" s="795">
        <v>3050</v>
      </c>
      <c r="L112" s="795" t="s">
        <v>1868</v>
      </c>
      <c r="M112" s="795" t="s">
        <v>1869</v>
      </c>
      <c r="N112" s="1793">
        <v>623112</v>
      </c>
      <c r="O112" s="795" t="s">
        <v>840</v>
      </c>
      <c r="P112" s="795" t="s">
        <v>1804</v>
      </c>
      <c r="Q112" s="795"/>
    </row>
    <row r="113" spans="1:17" ht="24.5" thickBot="1">
      <c r="A113" s="796" t="s">
        <v>1865</v>
      </c>
      <c r="B113" s="797" t="s">
        <v>1866</v>
      </c>
      <c r="C113" s="797">
        <v>218</v>
      </c>
      <c r="D113" s="797" t="s">
        <v>325</v>
      </c>
      <c r="E113" s="797">
        <v>7225</v>
      </c>
      <c r="F113" s="797" t="s">
        <v>1870</v>
      </c>
      <c r="G113" s="797">
        <v>6791</v>
      </c>
      <c r="H113" s="797" t="s">
        <v>1867</v>
      </c>
      <c r="I113" s="797">
        <v>1990</v>
      </c>
      <c r="J113" s="797">
        <v>1990</v>
      </c>
      <c r="K113" s="797">
        <v>3050</v>
      </c>
      <c r="L113" s="797" t="s">
        <v>1868</v>
      </c>
      <c r="M113" s="797" t="s">
        <v>1871</v>
      </c>
      <c r="N113" s="798" t="s">
        <v>1872</v>
      </c>
      <c r="O113" s="797" t="s">
        <v>840</v>
      </c>
      <c r="P113" s="797" t="s">
        <v>1804</v>
      </c>
      <c r="Q113" s="797"/>
    </row>
    <row r="114" spans="1:17" ht="24.5" thickBot="1">
      <c r="A114" s="796" t="s">
        <v>1865</v>
      </c>
      <c r="B114" s="797" t="s">
        <v>1866</v>
      </c>
      <c r="C114" s="797">
        <v>218</v>
      </c>
      <c r="D114" s="797" t="s">
        <v>325</v>
      </c>
      <c r="E114" s="797">
        <v>7230</v>
      </c>
      <c r="F114" s="797" t="s">
        <v>232</v>
      </c>
      <c r="G114" s="797">
        <v>6791</v>
      </c>
      <c r="H114" s="797" t="s">
        <v>1867</v>
      </c>
      <c r="I114" s="797">
        <v>1990</v>
      </c>
      <c r="J114" s="797">
        <v>1990</v>
      </c>
      <c r="K114" s="797">
        <v>3050</v>
      </c>
      <c r="L114" s="797" t="s">
        <v>1868</v>
      </c>
      <c r="M114" s="797" t="s">
        <v>1871</v>
      </c>
      <c r="N114" s="798" t="s">
        <v>1873</v>
      </c>
      <c r="O114" s="797" t="s">
        <v>840</v>
      </c>
      <c r="P114" s="797" t="s">
        <v>1804</v>
      </c>
      <c r="Q114" s="797"/>
    </row>
    <row r="115" spans="1:17" ht="24.5" thickBot="1">
      <c r="A115" s="796" t="s">
        <v>1865</v>
      </c>
      <c r="B115" s="797" t="s">
        <v>1866</v>
      </c>
      <c r="C115" s="797">
        <v>218</v>
      </c>
      <c r="D115" s="797" t="s">
        <v>325</v>
      </c>
      <c r="E115" s="797">
        <v>7246</v>
      </c>
      <c r="F115" s="797" t="s">
        <v>1047</v>
      </c>
      <c r="G115" s="797">
        <v>6791</v>
      </c>
      <c r="H115" s="797" t="s">
        <v>1867</v>
      </c>
      <c r="I115" s="797">
        <v>1991</v>
      </c>
      <c r="J115" s="797">
        <v>1991</v>
      </c>
      <c r="K115" s="797">
        <v>3050</v>
      </c>
      <c r="L115" s="797" t="s">
        <v>1868</v>
      </c>
      <c r="M115" s="797" t="s">
        <v>1869</v>
      </c>
      <c r="N115" s="1794">
        <v>623112</v>
      </c>
      <c r="O115" s="797" t="s">
        <v>840</v>
      </c>
      <c r="P115" s="797" t="s">
        <v>1804</v>
      </c>
      <c r="Q115" s="797"/>
    </row>
    <row r="116" spans="1:17" ht="24.5" thickBot="1">
      <c r="A116" s="796" t="s">
        <v>1865</v>
      </c>
      <c r="B116" s="797" t="s">
        <v>1866</v>
      </c>
      <c r="C116" s="797">
        <v>218</v>
      </c>
      <c r="D116" s="797" t="s">
        <v>325</v>
      </c>
      <c r="E116" s="797">
        <v>7225</v>
      </c>
      <c r="F116" s="797" t="s">
        <v>1870</v>
      </c>
      <c r="G116" s="797">
        <v>6791</v>
      </c>
      <c r="H116" s="797" t="s">
        <v>1867</v>
      </c>
      <c r="I116" s="797">
        <v>1991</v>
      </c>
      <c r="J116" s="797">
        <v>1991</v>
      </c>
      <c r="K116" s="797">
        <v>3050</v>
      </c>
      <c r="L116" s="797" t="s">
        <v>1868</v>
      </c>
      <c r="M116" s="797" t="s">
        <v>1871</v>
      </c>
      <c r="N116" s="798" t="s">
        <v>1872</v>
      </c>
      <c r="O116" s="797" t="s">
        <v>840</v>
      </c>
      <c r="P116" s="797" t="s">
        <v>1804</v>
      </c>
      <c r="Q116" s="797"/>
    </row>
    <row r="117" spans="1:17" ht="24.5" thickBot="1">
      <c r="A117" s="796" t="s">
        <v>1865</v>
      </c>
      <c r="B117" s="797" t="s">
        <v>1866</v>
      </c>
      <c r="C117" s="797">
        <v>218</v>
      </c>
      <c r="D117" s="797" t="s">
        <v>325</v>
      </c>
      <c r="E117" s="797">
        <v>7230</v>
      </c>
      <c r="F117" s="797" t="s">
        <v>232</v>
      </c>
      <c r="G117" s="797">
        <v>6791</v>
      </c>
      <c r="H117" s="797" t="s">
        <v>1867</v>
      </c>
      <c r="I117" s="797">
        <v>1991</v>
      </c>
      <c r="J117" s="797">
        <v>1991</v>
      </c>
      <c r="K117" s="797">
        <v>3050</v>
      </c>
      <c r="L117" s="797" t="s">
        <v>1868</v>
      </c>
      <c r="M117" s="797" t="s">
        <v>1871</v>
      </c>
      <c r="N117" s="798" t="s">
        <v>1873</v>
      </c>
      <c r="O117" s="797" t="s">
        <v>840</v>
      </c>
      <c r="P117" s="797" t="s">
        <v>1804</v>
      </c>
      <c r="Q117" s="797"/>
    </row>
    <row r="118" spans="1:17" ht="24.5" thickBot="1">
      <c r="A118" s="796" t="s">
        <v>1865</v>
      </c>
      <c r="B118" s="797" t="s">
        <v>1866</v>
      </c>
      <c r="C118" s="797">
        <v>218</v>
      </c>
      <c r="D118" s="797" t="s">
        <v>325</v>
      </c>
      <c r="E118" s="797">
        <v>7246</v>
      </c>
      <c r="F118" s="797" t="s">
        <v>1047</v>
      </c>
      <c r="G118" s="797">
        <v>6791</v>
      </c>
      <c r="H118" s="797" t="s">
        <v>1867</v>
      </c>
      <c r="I118" s="797">
        <v>1992</v>
      </c>
      <c r="J118" s="797">
        <v>1992</v>
      </c>
      <c r="K118" s="797">
        <v>3050</v>
      </c>
      <c r="L118" s="797" t="s">
        <v>1868</v>
      </c>
      <c r="M118" s="797" t="s">
        <v>1869</v>
      </c>
      <c r="N118" s="1794">
        <v>623112</v>
      </c>
      <c r="O118" s="797" t="s">
        <v>840</v>
      </c>
      <c r="P118" s="797" t="s">
        <v>1804</v>
      </c>
      <c r="Q118" s="797"/>
    </row>
    <row r="119" spans="1:17" ht="24.5" thickBot="1">
      <c r="A119" s="796" t="s">
        <v>1865</v>
      </c>
      <c r="B119" s="797" t="s">
        <v>1866</v>
      </c>
      <c r="C119" s="797">
        <v>218</v>
      </c>
      <c r="D119" s="797" t="s">
        <v>325</v>
      </c>
      <c r="E119" s="797">
        <v>7225</v>
      </c>
      <c r="F119" s="797" t="s">
        <v>1870</v>
      </c>
      <c r="G119" s="797">
        <v>6791</v>
      </c>
      <c r="H119" s="797" t="s">
        <v>1867</v>
      </c>
      <c r="I119" s="797">
        <v>1992</v>
      </c>
      <c r="J119" s="797">
        <v>1992</v>
      </c>
      <c r="K119" s="797">
        <v>3050</v>
      </c>
      <c r="L119" s="797" t="s">
        <v>1868</v>
      </c>
      <c r="M119" s="797" t="s">
        <v>1871</v>
      </c>
      <c r="N119" s="798" t="s">
        <v>1872</v>
      </c>
      <c r="O119" s="797" t="s">
        <v>840</v>
      </c>
      <c r="P119" s="797" t="s">
        <v>1804</v>
      </c>
      <c r="Q119" s="797"/>
    </row>
    <row r="120" spans="1:17" ht="24.5" thickBot="1">
      <c r="A120" s="796" t="s">
        <v>1865</v>
      </c>
      <c r="B120" s="797" t="s">
        <v>1866</v>
      </c>
      <c r="C120" s="797">
        <v>218</v>
      </c>
      <c r="D120" s="797" t="s">
        <v>325</v>
      </c>
      <c r="E120" s="797">
        <v>7230</v>
      </c>
      <c r="F120" s="797" t="s">
        <v>232</v>
      </c>
      <c r="G120" s="797">
        <v>6791</v>
      </c>
      <c r="H120" s="797" t="s">
        <v>1867</v>
      </c>
      <c r="I120" s="797">
        <v>1992</v>
      </c>
      <c r="J120" s="797">
        <v>1992</v>
      </c>
      <c r="K120" s="797">
        <v>3050</v>
      </c>
      <c r="L120" s="797" t="s">
        <v>1868</v>
      </c>
      <c r="M120" s="797" t="s">
        <v>1871</v>
      </c>
      <c r="N120" s="798" t="s">
        <v>1873</v>
      </c>
      <c r="O120" s="797" t="s">
        <v>840</v>
      </c>
      <c r="P120" s="797" t="s">
        <v>1804</v>
      </c>
      <c r="Q120" s="797"/>
    </row>
    <row r="121" spans="1:17" ht="24.5" thickBot="1">
      <c r="A121" s="796" t="s">
        <v>1865</v>
      </c>
      <c r="B121" s="797" t="s">
        <v>1866</v>
      </c>
      <c r="C121" s="797">
        <v>218</v>
      </c>
      <c r="D121" s="797" t="s">
        <v>325</v>
      </c>
      <c r="E121" s="797">
        <v>7246</v>
      </c>
      <c r="F121" s="797" t="s">
        <v>1047</v>
      </c>
      <c r="G121" s="797">
        <v>6791</v>
      </c>
      <c r="H121" s="797" t="s">
        <v>1867</v>
      </c>
      <c r="I121" s="797">
        <v>1993</v>
      </c>
      <c r="J121" s="797">
        <v>1993</v>
      </c>
      <c r="K121" s="797">
        <v>3050</v>
      </c>
      <c r="L121" s="797" t="s">
        <v>1868</v>
      </c>
      <c r="M121" s="797" t="s">
        <v>1869</v>
      </c>
      <c r="N121" s="1794">
        <v>623112</v>
      </c>
      <c r="O121" s="797" t="s">
        <v>840</v>
      </c>
      <c r="P121" s="797" t="s">
        <v>1804</v>
      </c>
      <c r="Q121" s="797"/>
    </row>
    <row r="122" spans="1:17" ht="24.5" thickBot="1">
      <c r="A122" s="796" t="s">
        <v>1865</v>
      </c>
      <c r="B122" s="797" t="s">
        <v>1866</v>
      </c>
      <c r="C122" s="797">
        <v>218</v>
      </c>
      <c r="D122" s="797" t="s">
        <v>325</v>
      </c>
      <c r="E122" s="797">
        <v>7225</v>
      </c>
      <c r="F122" s="797" t="s">
        <v>1870</v>
      </c>
      <c r="G122" s="797">
        <v>6791</v>
      </c>
      <c r="H122" s="797" t="s">
        <v>1867</v>
      </c>
      <c r="I122" s="797">
        <v>1993</v>
      </c>
      <c r="J122" s="797">
        <v>1993</v>
      </c>
      <c r="K122" s="797">
        <v>3050</v>
      </c>
      <c r="L122" s="797" t="s">
        <v>1868</v>
      </c>
      <c r="M122" s="797" t="s">
        <v>1871</v>
      </c>
      <c r="N122" s="798" t="s">
        <v>1872</v>
      </c>
      <c r="O122" s="797" t="s">
        <v>840</v>
      </c>
      <c r="P122" s="797" t="s">
        <v>1804</v>
      </c>
      <c r="Q122" s="797"/>
    </row>
    <row r="123" spans="1:17" ht="24.5" thickBot="1">
      <c r="A123" s="796" t="s">
        <v>1865</v>
      </c>
      <c r="B123" s="797" t="s">
        <v>1866</v>
      </c>
      <c r="C123" s="797">
        <v>218</v>
      </c>
      <c r="D123" s="797" t="s">
        <v>325</v>
      </c>
      <c r="E123" s="797">
        <v>7230</v>
      </c>
      <c r="F123" s="797" t="s">
        <v>232</v>
      </c>
      <c r="G123" s="797">
        <v>6791</v>
      </c>
      <c r="H123" s="797" t="s">
        <v>1867</v>
      </c>
      <c r="I123" s="797">
        <v>1993</v>
      </c>
      <c r="J123" s="797">
        <v>1993</v>
      </c>
      <c r="K123" s="797">
        <v>3050</v>
      </c>
      <c r="L123" s="797" t="s">
        <v>1868</v>
      </c>
      <c r="M123" s="797" t="s">
        <v>1871</v>
      </c>
      <c r="N123" s="798" t="s">
        <v>1873</v>
      </c>
      <c r="O123" s="797" t="s">
        <v>840</v>
      </c>
      <c r="P123" s="797" t="s">
        <v>1804</v>
      </c>
      <c r="Q123" s="797"/>
    </row>
    <row r="124" spans="1:17" ht="24.5" thickBot="1">
      <c r="A124" s="796" t="s">
        <v>1865</v>
      </c>
      <c r="B124" s="797" t="s">
        <v>1866</v>
      </c>
      <c r="C124" s="797">
        <v>218</v>
      </c>
      <c r="D124" s="797" t="s">
        <v>325</v>
      </c>
      <c r="E124" s="797">
        <v>7246</v>
      </c>
      <c r="F124" s="797" t="s">
        <v>1047</v>
      </c>
      <c r="G124" s="797">
        <v>6791</v>
      </c>
      <c r="H124" s="797" t="s">
        <v>1867</v>
      </c>
      <c r="I124" s="797">
        <v>1994</v>
      </c>
      <c r="J124" s="797">
        <v>1994</v>
      </c>
      <c r="K124" s="797">
        <v>3050</v>
      </c>
      <c r="L124" s="797" t="s">
        <v>1868</v>
      </c>
      <c r="M124" s="797" t="s">
        <v>1869</v>
      </c>
      <c r="N124" s="1794">
        <v>623112</v>
      </c>
      <c r="O124" s="797" t="s">
        <v>840</v>
      </c>
      <c r="P124" s="797" t="s">
        <v>1804</v>
      </c>
      <c r="Q124" s="797"/>
    </row>
    <row r="125" spans="1:17" ht="24.5" thickBot="1">
      <c r="A125" s="796" t="s">
        <v>1865</v>
      </c>
      <c r="B125" s="797" t="s">
        <v>1866</v>
      </c>
      <c r="C125" s="797">
        <v>218</v>
      </c>
      <c r="D125" s="797" t="s">
        <v>325</v>
      </c>
      <c r="E125" s="797">
        <v>7225</v>
      </c>
      <c r="F125" s="797" t="s">
        <v>1870</v>
      </c>
      <c r="G125" s="797">
        <v>6791</v>
      </c>
      <c r="H125" s="797" t="s">
        <v>1867</v>
      </c>
      <c r="I125" s="797">
        <v>1994</v>
      </c>
      <c r="J125" s="797">
        <v>1994</v>
      </c>
      <c r="K125" s="797">
        <v>3050</v>
      </c>
      <c r="L125" s="797" t="s">
        <v>1868</v>
      </c>
      <c r="M125" s="797" t="s">
        <v>1871</v>
      </c>
      <c r="N125" s="798" t="s">
        <v>1872</v>
      </c>
      <c r="O125" s="797" t="s">
        <v>840</v>
      </c>
      <c r="P125" s="797" t="s">
        <v>1804</v>
      </c>
      <c r="Q125" s="797"/>
    </row>
    <row r="126" spans="1:17" ht="24.5" thickBot="1">
      <c r="A126" s="796" t="s">
        <v>1865</v>
      </c>
      <c r="B126" s="797" t="s">
        <v>1866</v>
      </c>
      <c r="C126" s="797">
        <v>218</v>
      </c>
      <c r="D126" s="797" t="s">
        <v>325</v>
      </c>
      <c r="E126" s="797">
        <v>7230</v>
      </c>
      <c r="F126" s="797" t="s">
        <v>232</v>
      </c>
      <c r="G126" s="797">
        <v>6791</v>
      </c>
      <c r="H126" s="797" t="s">
        <v>1867</v>
      </c>
      <c r="I126" s="797">
        <v>1994</v>
      </c>
      <c r="J126" s="797">
        <v>1994</v>
      </c>
      <c r="K126" s="797">
        <v>3050</v>
      </c>
      <c r="L126" s="797" t="s">
        <v>1868</v>
      </c>
      <c r="M126" s="797" t="s">
        <v>1871</v>
      </c>
      <c r="N126" s="798" t="s">
        <v>1873</v>
      </c>
      <c r="O126" s="797" t="s">
        <v>840</v>
      </c>
      <c r="P126" s="797" t="s">
        <v>1804</v>
      </c>
      <c r="Q126" s="797"/>
    </row>
    <row r="127" spans="1:17" ht="24.5" thickBot="1">
      <c r="A127" s="796" t="s">
        <v>1865</v>
      </c>
      <c r="B127" s="797" t="s">
        <v>1866</v>
      </c>
      <c r="C127" s="797">
        <v>218</v>
      </c>
      <c r="D127" s="797" t="s">
        <v>325</v>
      </c>
      <c r="E127" s="797">
        <v>7246</v>
      </c>
      <c r="F127" s="797" t="s">
        <v>1047</v>
      </c>
      <c r="G127" s="797">
        <v>6791</v>
      </c>
      <c r="H127" s="797" t="s">
        <v>1867</v>
      </c>
      <c r="I127" s="797">
        <v>1995</v>
      </c>
      <c r="J127" s="797">
        <v>1995</v>
      </c>
      <c r="K127" s="797">
        <v>3050</v>
      </c>
      <c r="L127" s="797" t="s">
        <v>1868</v>
      </c>
      <c r="M127" s="797" t="s">
        <v>1869</v>
      </c>
      <c r="N127" s="1794">
        <v>623112</v>
      </c>
      <c r="O127" s="797" t="s">
        <v>840</v>
      </c>
      <c r="P127" s="797" t="s">
        <v>1804</v>
      </c>
      <c r="Q127" s="797"/>
    </row>
    <row r="128" spans="1:17" ht="24.5" thickBot="1">
      <c r="A128" s="796" t="s">
        <v>1865</v>
      </c>
      <c r="B128" s="797" t="s">
        <v>1866</v>
      </c>
      <c r="C128" s="797">
        <v>218</v>
      </c>
      <c r="D128" s="797" t="s">
        <v>325</v>
      </c>
      <c r="E128" s="797">
        <v>7225</v>
      </c>
      <c r="F128" s="797" t="s">
        <v>1870</v>
      </c>
      <c r="G128" s="797">
        <v>6791</v>
      </c>
      <c r="H128" s="797" t="s">
        <v>1867</v>
      </c>
      <c r="I128" s="797">
        <v>1995</v>
      </c>
      <c r="J128" s="797">
        <v>1995</v>
      </c>
      <c r="K128" s="797">
        <v>3050</v>
      </c>
      <c r="L128" s="797" t="s">
        <v>1868</v>
      </c>
      <c r="M128" s="797" t="s">
        <v>1871</v>
      </c>
      <c r="N128" s="798" t="s">
        <v>1872</v>
      </c>
      <c r="O128" s="797" t="s">
        <v>840</v>
      </c>
      <c r="P128" s="797" t="s">
        <v>1804</v>
      </c>
      <c r="Q128" s="797"/>
    </row>
    <row r="129" spans="1:17" ht="24.5" thickBot="1">
      <c r="A129" s="796" t="s">
        <v>1865</v>
      </c>
      <c r="B129" s="797" t="s">
        <v>1866</v>
      </c>
      <c r="C129" s="797">
        <v>218</v>
      </c>
      <c r="D129" s="797" t="s">
        <v>325</v>
      </c>
      <c r="E129" s="797">
        <v>7230</v>
      </c>
      <c r="F129" s="797" t="s">
        <v>232</v>
      </c>
      <c r="G129" s="797">
        <v>6791</v>
      </c>
      <c r="H129" s="797" t="s">
        <v>1867</v>
      </c>
      <c r="I129" s="797">
        <v>1995</v>
      </c>
      <c r="J129" s="797">
        <v>1995</v>
      </c>
      <c r="K129" s="797">
        <v>3050</v>
      </c>
      <c r="L129" s="797" t="s">
        <v>1868</v>
      </c>
      <c r="M129" s="797" t="s">
        <v>1871</v>
      </c>
      <c r="N129" s="798" t="s">
        <v>1873</v>
      </c>
      <c r="O129" s="797" t="s">
        <v>840</v>
      </c>
      <c r="P129" s="797" t="s">
        <v>1804</v>
      </c>
      <c r="Q129" s="797"/>
    </row>
    <row r="130" spans="1:17" ht="24.5" thickBot="1">
      <c r="A130" s="796" t="s">
        <v>1865</v>
      </c>
      <c r="B130" s="797" t="s">
        <v>1866</v>
      </c>
      <c r="C130" s="797">
        <v>218</v>
      </c>
      <c r="D130" s="797" t="s">
        <v>325</v>
      </c>
      <c r="E130" s="797">
        <v>7246</v>
      </c>
      <c r="F130" s="797" t="s">
        <v>1047</v>
      </c>
      <c r="G130" s="797">
        <v>6791</v>
      </c>
      <c r="H130" s="797" t="s">
        <v>1867</v>
      </c>
      <c r="I130" s="797">
        <v>1996</v>
      </c>
      <c r="J130" s="797">
        <v>1996</v>
      </c>
      <c r="K130" s="797">
        <v>3050</v>
      </c>
      <c r="L130" s="797" t="s">
        <v>1868</v>
      </c>
      <c r="M130" s="797" t="s">
        <v>1869</v>
      </c>
      <c r="N130" s="1794">
        <v>1551022</v>
      </c>
      <c r="O130" s="797" t="s">
        <v>840</v>
      </c>
      <c r="P130" s="797" t="s">
        <v>1804</v>
      </c>
      <c r="Q130" s="797"/>
    </row>
    <row r="131" spans="1:17" ht="24.5" thickBot="1">
      <c r="A131" s="796" t="s">
        <v>1865</v>
      </c>
      <c r="B131" s="797" t="s">
        <v>1866</v>
      </c>
      <c r="C131" s="797">
        <v>218</v>
      </c>
      <c r="D131" s="797" t="s">
        <v>325</v>
      </c>
      <c r="E131" s="797">
        <v>7225</v>
      </c>
      <c r="F131" s="797" t="s">
        <v>1870</v>
      </c>
      <c r="G131" s="797">
        <v>6791</v>
      </c>
      <c r="H131" s="797" t="s">
        <v>1867</v>
      </c>
      <c r="I131" s="797">
        <v>1996</v>
      </c>
      <c r="J131" s="797">
        <v>1996</v>
      </c>
      <c r="K131" s="797">
        <v>3050</v>
      </c>
      <c r="L131" s="797" t="s">
        <v>1868</v>
      </c>
      <c r="M131" s="797" t="s">
        <v>1871</v>
      </c>
      <c r="N131" s="798" t="s">
        <v>1874</v>
      </c>
      <c r="O131" s="797" t="s">
        <v>840</v>
      </c>
      <c r="P131" s="797" t="s">
        <v>1804</v>
      </c>
      <c r="Q131" s="797"/>
    </row>
    <row r="132" spans="1:17" ht="24.5" thickBot="1">
      <c r="A132" s="796" t="s">
        <v>1865</v>
      </c>
      <c r="B132" s="797" t="s">
        <v>1866</v>
      </c>
      <c r="C132" s="797">
        <v>218</v>
      </c>
      <c r="D132" s="797" t="s">
        <v>325</v>
      </c>
      <c r="E132" s="797">
        <v>7230</v>
      </c>
      <c r="F132" s="797" t="s">
        <v>232</v>
      </c>
      <c r="G132" s="797">
        <v>6791</v>
      </c>
      <c r="H132" s="797" t="s">
        <v>1867</v>
      </c>
      <c r="I132" s="797">
        <v>1996</v>
      </c>
      <c r="J132" s="797">
        <v>1996</v>
      </c>
      <c r="K132" s="797">
        <v>3050</v>
      </c>
      <c r="L132" s="797" t="s">
        <v>1868</v>
      </c>
      <c r="M132" s="797" t="s">
        <v>1871</v>
      </c>
      <c r="N132" s="798" t="s">
        <v>1875</v>
      </c>
      <c r="O132" s="797" t="s">
        <v>840</v>
      </c>
      <c r="P132" s="797" t="s">
        <v>1804</v>
      </c>
      <c r="Q132" s="797"/>
    </row>
    <row r="133" spans="1:17" ht="24.5" thickBot="1">
      <c r="A133" s="796" t="s">
        <v>1865</v>
      </c>
      <c r="B133" s="797" t="s">
        <v>1866</v>
      </c>
      <c r="C133" s="797">
        <v>218</v>
      </c>
      <c r="D133" s="797" t="s">
        <v>325</v>
      </c>
      <c r="E133" s="797">
        <v>7246</v>
      </c>
      <c r="F133" s="797" t="s">
        <v>1047</v>
      </c>
      <c r="G133" s="797">
        <v>6791</v>
      </c>
      <c r="H133" s="797" t="s">
        <v>1867</v>
      </c>
      <c r="I133" s="797">
        <v>1997</v>
      </c>
      <c r="J133" s="797">
        <v>1997</v>
      </c>
      <c r="K133" s="797">
        <v>3050</v>
      </c>
      <c r="L133" s="797" t="s">
        <v>1868</v>
      </c>
      <c r="M133" s="797" t="s">
        <v>1869</v>
      </c>
      <c r="N133" s="1794">
        <v>2151444</v>
      </c>
      <c r="O133" s="797" t="s">
        <v>840</v>
      </c>
      <c r="P133" s="797" t="s">
        <v>1804</v>
      </c>
      <c r="Q133" s="797"/>
    </row>
    <row r="134" spans="1:17" ht="24.5" thickBot="1">
      <c r="A134" s="796" t="s">
        <v>1865</v>
      </c>
      <c r="B134" s="797" t="s">
        <v>1866</v>
      </c>
      <c r="C134" s="797">
        <v>218</v>
      </c>
      <c r="D134" s="797" t="s">
        <v>325</v>
      </c>
      <c r="E134" s="797">
        <v>7225</v>
      </c>
      <c r="F134" s="797" t="s">
        <v>1870</v>
      </c>
      <c r="G134" s="797">
        <v>6791</v>
      </c>
      <c r="H134" s="797" t="s">
        <v>1867</v>
      </c>
      <c r="I134" s="797">
        <v>1997</v>
      </c>
      <c r="J134" s="797">
        <v>1997</v>
      </c>
      <c r="K134" s="797">
        <v>3050</v>
      </c>
      <c r="L134" s="797" t="s">
        <v>1868</v>
      </c>
      <c r="M134" s="797" t="s">
        <v>1871</v>
      </c>
      <c r="N134" s="798" t="s">
        <v>1876</v>
      </c>
      <c r="O134" s="797" t="s">
        <v>840</v>
      </c>
      <c r="P134" s="797" t="s">
        <v>1804</v>
      </c>
      <c r="Q134" s="797"/>
    </row>
    <row r="135" spans="1:17" ht="24.5" thickBot="1">
      <c r="A135" s="796" t="s">
        <v>1865</v>
      </c>
      <c r="B135" s="797" t="s">
        <v>1866</v>
      </c>
      <c r="C135" s="797">
        <v>218</v>
      </c>
      <c r="D135" s="797" t="s">
        <v>325</v>
      </c>
      <c r="E135" s="797">
        <v>7230</v>
      </c>
      <c r="F135" s="797" t="s">
        <v>232</v>
      </c>
      <c r="G135" s="797">
        <v>6791</v>
      </c>
      <c r="H135" s="797" t="s">
        <v>1867</v>
      </c>
      <c r="I135" s="797">
        <v>1997</v>
      </c>
      <c r="J135" s="797">
        <v>1997</v>
      </c>
      <c r="K135" s="797">
        <v>3050</v>
      </c>
      <c r="L135" s="797" t="s">
        <v>1868</v>
      </c>
      <c r="M135" s="797" t="s">
        <v>1871</v>
      </c>
      <c r="N135" s="798" t="s">
        <v>1877</v>
      </c>
      <c r="O135" s="797" t="s">
        <v>840</v>
      </c>
      <c r="P135" s="797" t="s">
        <v>1804</v>
      </c>
      <c r="Q135" s="797"/>
    </row>
    <row r="136" spans="1:17" ht="24.5" thickBot="1">
      <c r="A136" s="796" t="s">
        <v>1865</v>
      </c>
      <c r="B136" s="797" t="s">
        <v>1866</v>
      </c>
      <c r="C136" s="797">
        <v>218</v>
      </c>
      <c r="D136" s="797" t="s">
        <v>325</v>
      </c>
      <c r="E136" s="797">
        <v>7246</v>
      </c>
      <c r="F136" s="797" t="s">
        <v>1047</v>
      </c>
      <c r="G136" s="797">
        <v>6791</v>
      </c>
      <c r="H136" s="797" t="s">
        <v>1867</v>
      </c>
      <c r="I136" s="797">
        <v>1998</v>
      </c>
      <c r="J136" s="797">
        <v>1998</v>
      </c>
      <c r="K136" s="797">
        <v>3050</v>
      </c>
      <c r="L136" s="797" t="s">
        <v>1868</v>
      </c>
      <c r="M136" s="797" t="s">
        <v>1869</v>
      </c>
      <c r="N136" s="1794">
        <v>2752742</v>
      </c>
      <c r="O136" s="797" t="s">
        <v>840</v>
      </c>
      <c r="P136" s="797" t="s">
        <v>1804</v>
      </c>
      <c r="Q136" s="797"/>
    </row>
    <row r="137" spans="1:17" ht="24.5" thickBot="1">
      <c r="A137" s="796" t="s">
        <v>1865</v>
      </c>
      <c r="B137" s="797" t="s">
        <v>1866</v>
      </c>
      <c r="C137" s="797">
        <v>218</v>
      </c>
      <c r="D137" s="797" t="s">
        <v>325</v>
      </c>
      <c r="E137" s="797">
        <v>7225</v>
      </c>
      <c r="F137" s="797" t="s">
        <v>1870</v>
      </c>
      <c r="G137" s="797">
        <v>6791</v>
      </c>
      <c r="H137" s="797" t="s">
        <v>1867</v>
      </c>
      <c r="I137" s="797">
        <v>1998</v>
      </c>
      <c r="J137" s="797">
        <v>1998</v>
      </c>
      <c r="K137" s="797">
        <v>3050</v>
      </c>
      <c r="L137" s="797" t="s">
        <v>1868</v>
      </c>
      <c r="M137" s="797" t="s">
        <v>1871</v>
      </c>
      <c r="N137" s="798" t="s">
        <v>1878</v>
      </c>
      <c r="O137" s="797" t="s">
        <v>840</v>
      </c>
      <c r="P137" s="797" t="s">
        <v>1804</v>
      </c>
      <c r="Q137" s="797"/>
    </row>
    <row r="138" spans="1:17" ht="24.5" thickBot="1">
      <c r="A138" s="796" t="s">
        <v>1865</v>
      </c>
      <c r="B138" s="797" t="s">
        <v>1866</v>
      </c>
      <c r="C138" s="797">
        <v>218</v>
      </c>
      <c r="D138" s="797" t="s">
        <v>325</v>
      </c>
      <c r="E138" s="797">
        <v>7230</v>
      </c>
      <c r="F138" s="797" t="s">
        <v>232</v>
      </c>
      <c r="G138" s="797">
        <v>6791</v>
      </c>
      <c r="H138" s="797" t="s">
        <v>1867</v>
      </c>
      <c r="I138" s="797">
        <v>1998</v>
      </c>
      <c r="J138" s="797">
        <v>1998</v>
      </c>
      <c r="K138" s="797">
        <v>3050</v>
      </c>
      <c r="L138" s="797" t="s">
        <v>1868</v>
      </c>
      <c r="M138" s="797" t="s">
        <v>1871</v>
      </c>
      <c r="N138" s="798" t="s">
        <v>1879</v>
      </c>
      <c r="O138" s="797" t="s">
        <v>840</v>
      </c>
      <c r="P138" s="797" t="s">
        <v>1804</v>
      </c>
      <c r="Q138" s="797"/>
    </row>
    <row r="139" spans="1:17" ht="24.5" thickBot="1">
      <c r="A139" s="796" t="s">
        <v>1865</v>
      </c>
      <c r="B139" s="797" t="s">
        <v>1866</v>
      </c>
      <c r="C139" s="797">
        <v>218</v>
      </c>
      <c r="D139" s="797" t="s">
        <v>325</v>
      </c>
      <c r="E139" s="797">
        <v>7246</v>
      </c>
      <c r="F139" s="797" t="s">
        <v>1047</v>
      </c>
      <c r="G139" s="797">
        <v>6791</v>
      </c>
      <c r="H139" s="797" t="s">
        <v>1867</v>
      </c>
      <c r="I139" s="797">
        <v>1999</v>
      </c>
      <c r="J139" s="797">
        <v>1999</v>
      </c>
      <c r="K139" s="797">
        <v>3050</v>
      </c>
      <c r="L139" s="797" t="s">
        <v>1868</v>
      </c>
      <c r="M139" s="797" t="s">
        <v>1869</v>
      </c>
      <c r="N139" s="1794">
        <v>1950605</v>
      </c>
      <c r="O139" s="797" t="s">
        <v>840</v>
      </c>
      <c r="P139" s="797" t="s">
        <v>1804</v>
      </c>
      <c r="Q139" s="797"/>
    </row>
    <row r="140" spans="1:17" ht="24.5" thickBot="1">
      <c r="A140" s="796" t="s">
        <v>1865</v>
      </c>
      <c r="B140" s="797" t="s">
        <v>1866</v>
      </c>
      <c r="C140" s="797">
        <v>218</v>
      </c>
      <c r="D140" s="797" t="s">
        <v>325</v>
      </c>
      <c r="E140" s="797">
        <v>7225</v>
      </c>
      <c r="F140" s="797" t="s">
        <v>1870</v>
      </c>
      <c r="G140" s="797">
        <v>6791</v>
      </c>
      <c r="H140" s="797" t="s">
        <v>1867</v>
      </c>
      <c r="I140" s="797">
        <v>1999</v>
      </c>
      <c r="J140" s="797">
        <v>1999</v>
      </c>
      <c r="K140" s="797">
        <v>3050</v>
      </c>
      <c r="L140" s="797" t="s">
        <v>1868</v>
      </c>
      <c r="M140" s="797" t="s">
        <v>1871</v>
      </c>
      <c r="N140" s="798" t="s">
        <v>1880</v>
      </c>
      <c r="O140" s="797" t="s">
        <v>840</v>
      </c>
      <c r="P140" s="797" t="s">
        <v>1804</v>
      </c>
      <c r="Q140" s="797"/>
    </row>
    <row r="141" spans="1:17" ht="24.5" thickBot="1">
      <c r="A141" s="796" t="s">
        <v>1865</v>
      </c>
      <c r="B141" s="797" t="s">
        <v>1866</v>
      </c>
      <c r="C141" s="797">
        <v>218</v>
      </c>
      <c r="D141" s="797" t="s">
        <v>325</v>
      </c>
      <c r="E141" s="797">
        <v>7230</v>
      </c>
      <c r="F141" s="797" t="s">
        <v>232</v>
      </c>
      <c r="G141" s="797">
        <v>6791</v>
      </c>
      <c r="H141" s="797" t="s">
        <v>1867</v>
      </c>
      <c r="I141" s="797">
        <v>1999</v>
      </c>
      <c r="J141" s="797">
        <v>1999</v>
      </c>
      <c r="K141" s="797">
        <v>3050</v>
      </c>
      <c r="L141" s="797" t="s">
        <v>1868</v>
      </c>
      <c r="M141" s="797" t="s">
        <v>1871</v>
      </c>
      <c r="N141" s="798" t="s">
        <v>1881</v>
      </c>
      <c r="O141" s="797" t="s">
        <v>840</v>
      </c>
      <c r="P141" s="797" t="s">
        <v>1804</v>
      </c>
      <c r="Q141" s="797"/>
    </row>
    <row r="142" spans="1:17" ht="24.5" thickBot="1">
      <c r="A142" s="796" t="s">
        <v>1865</v>
      </c>
      <c r="B142" s="797" t="s">
        <v>1866</v>
      </c>
      <c r="C142" s="797">
        <v>218</v>
      </c>
      <c r="D142" s="797" t="s">
        <v>325</v>
      </c>
      <c r="E142" s="797">
        <v>7246</v>
      </c>
      <c r="F142" s="797" t="s">
        <v>1047</v>
      </c>
      <c r="G142" s="797">
        <v>6791</v>
      </c>
      <c r="H142" s="797" t="s">
        <v>1867</v>
      </c>
      <c r="I142" s="797">
        <v>2000</v>
      </c>
      <c r="J142" s="797">
        <v>2000</v>
      </c>
      <c r="K142" s="797">
        <v>3050</v>
      </c>
      <c r="L142" s="797" t="s">
        <v>1868</v>
      </c>
      <c r="M142" s="797" t="s">
        <v>1869</v>
      </c>
      <c r="N142" s="1794">
        <v>297563</v>
      </c>
      <c r="O142" s="797" t="s">
        <v>840</v>
      </c>
      <c r="P142" s="797" t="s">
        <v>1804</v>
      </c>
      <c r="Q142" s="797"/>
    </row>
    <row r="143" spans="1:17" ht="24.5" thickBot="1">
      <c r="A143" s="796" t="s">
        <v>1865</v>
      </c>
      <c r="B143" s="797" t="s">
        <v>1866</v>
      </c>
      <c r="C143" s="797">
        <v>218</v>
      </c>
      <c r="D143" s="797" t="s">
        <v>325</v>
      </c>
      <c r="E143" s="797">
        <v>7225</v>
      </c>
      <c r="F143" s="797" t="s">
        <v>1870</v>
      </c>
      <c r="G143" s="797">
        <v>6791</v>
      </c>
      <c r="H143" s="797" t="s">
        <v>1867</v>
      </c>
      <c r="I143" s="797">
        <v>2000</v>
      </c>
      <c r="J143" s="797">
        <v>2000</v>
      </c>
      <c r="K143" s="797">
        <v>3050</v>
      </c>
      <c r="L143" s="797" t="s">
        <v>1868</v>
      </c>
      <c r="M143" s="797" t="s">
        <v>1871</v>
      </c>
      <c r="N143" s="798" t="s">
        <v>1882</v>
      </c>
      <c r="O143" s="797" t="s">
        <v>840</v>
      </c>
      <c r="P143" s="797" t="s">
        <v>1804</v>
      </c>
      <c r="Q143" s="797"/>
    </row>
    <row r="144" spans="1:17" ht="24.5" thickBot="1">
      <c r="A144" s="796" t="s">
        <v>1865</v>
      </c>
      <c r="B144" s="797" t="s">
        <v>1866</v>
      </c>
      <c r="C144" s="797">
        <v>218</v>
      </c>
      <c r="D144" s="797" t="s">
        <v>325</v>
      </c>
      <c r="E144" s="797">
        <v>7230</v>
      </c>
      <c r="F144" s="797" t="s">
        <v>232</v>
      </c>
      <c r="G144" s="797">
        <v>6791</v>
      </c>
      <c r="H144" s="797" t="s">
        <v>1867</v>
      </c>
      <c r="I144" s="797">
        <v>2000</v>
      </c>
      <c r="J144" s="797">
        <v>2000</v>
      </c>
      <c r="K144" s="797">
        <v>3050</v>
      </c>
      <c r="L144" s="797" t="s">
        <v>1868</v>
      </c>
      <c r="M144" s="797" t="s">
        <v>1871</v>
      </c>
      <c r="N144" s="798" t="s">
        <v>1883</v>
      </c>
      <c r="O144" s="797" t="s">
        <v>840</v>
      </c>
      <c r="P144" s="797" t="s">
        <v>1804</v>
      </c>
      <c r="Q144" s="797"/>
    </row>
    <row r="145" spans="1:17" ht="24.5" thickBot="1">
      <c r="A145" s="796" t="s">
        <v>1865</v>
      </c>
      <c r="B145" s="797" t="s">
        <v>1866</v>
      </c>
      <c r="C145" s="797">
        <v>218</v>
      </c>
      <c r="D145" s="797" t="s">
        <v>325</v>
      </c>
      <c r="E145" s="797">
        <v>7246</v>
      </c>
      <c r="F145" s="797" t="s">
        <v>1047</v>
      </c>
      <c r="G145" s="797">
        <v>6791</v>
      </c>
      <c r="H145" s="797" t="s">
        <v>1867</v>
      </c>
      <c r="I145" s="797">
        <v>2001</v>
      </c>
      <c r="J145" s="797">
        <v>2001</v>
      </c>
      <c r="K145" s="797">
        <v>3050</v>
      </c>
      <c r="L145" s="797" t="s">
        <v>1868</v>
      </c>
      <c r="M145" s="797" t="s">
        <v>1869</v>
      </c>
      <c r="N145" s="1794">
        <v>1282222</v>
      </c>
      <c r="O145" s="797" t="s">
        <v>840</v>
      </c>
      <c r="P145" s="797" t="s">
        <v>1804</v>
      </c>
      <c r="Q145" s="797"/>
    </row>
    <row r="146" spans="1:17" ht="24.5" thickBot="1">
      <c r="A146" s="796" t="s">
        <v>1865</v>
      </c>
      <c r="B146" s="797" t="s">
        <v>1866</v>
      </c>
      <c r="C146" s="797">
        <v>218</v>
      </c>
      <c r="D146" s="797" t="s">
        <v>325</v>
      </c>
      <c r="E146" s="797">
        <v>7225</v>
      </c>
      <c r="F146" s="797" t="s">
        <v>1870</v>
      </c>
      <c r="G146" s="797">
        <v>6791</v>
      </c>
      <c r="H146" s="797" t="s">
        <v>1867</v>
      </c>
      <c r="I146" s="797">
        <v>2001</v>
      </c>
      <c r="J146" s="797">
        <v>2001</v>
      </c>
      <c r="K146" s="797">
        <v>3050</v>
      </c>
      <c r="L146" s="797" t="s">
        <v>1868</v>
      </c>
      <c r="M146" s="797" t="s">
        <v>1871</v>
      </c>
      <c r="N146" s="798" t="s">
        <v>1884</v>
      </c>
      <c r="O146" s="797" t="s">
        <v>840</v>
      </c>
      <c r="P146" s="797" t="s">
        <v>1804</v>
      </c>
      <c r="Q146" s="797"/>
    </row>
    <row r="147" spans="1:17" ht="24.5" thickBot="1">
      <c r="A147" s="796" t="s">
        <v>1865</v>
      </c>
      <c r="B147" s="797" t="s">
        <v>1866</v>
      </c>
      <c r="C147" s="797">
        <v>218</v>
      </c>
      <c r="D147" s="797" t="s">
        <v>325</v>
      </c>
      <c r="E147" s="797">
        <v>7230</v>
      </c>
      <c r="F147" s="797" t="s">
        <v>232</v>
      </c>
      <c r="G147" s="797">
        <v>6791</v>
      </c>
      <c r="H147" s="797" t="s">
        <v>1867</v>
      </c>
      <c r="I147" s="797">
        <v>2001</v>
      </c>
      <c r="J147" s="797">
        <v>2001</v>
      </c>
      <c r="K147" s="797">
        <v>3050</v>
      </c>
      <c r="L147" s="797" t="s">
        <v>1868</v>
      </c>
      <c r="M147" s="797" t="s">
        <v>1871</v>
      </c>
      <c r="N147" s="798" t="s">
        <v>1885</v>
      </c>
      <c r="O147" s="797" t="s">
        <v>840</v>
      </c>
      <c r="P147" s="797" t="s">
        <v>1804</v>
      </c>
      <c r="Q147" s="797"/>
    </row>
    <row r="148" spans="1:17" ht="24.5" thickBot="1">
      <c r="A148" s="796" t="s">
        <v>1865</v>
      </c>
      <c r="B148" s="797" t="s">
        <v>1866</v>
      </c>
      <c r="C148" s="797">
        <v>218</v>
      </c>
      <c r="D148" s="797" t="s">
        <v>325</v>
      </c>
      <c r="E148" s="797">
        <v>7246</v>
      </c>
      <c r="F148" s="797" t="s">
        <v>1047</v>
      </c>
      <c r="G148" s="797">
        <v>6791</v>
      </c>
      <c r="H148" s="797" t="s">
        <v>1867</v>
      </c>
      <c r="I148" s="797">
        <v>2002</v>
      </c>
      <c r="J148" s="797">
        <v>2002</v>
      </c>
      <c r="K148" s="797">
        <v>3050</v>
      </c>
      <c r="L148" s="797" t="s">
        <v>1868</v>
      </c>
      <c r="M148" s="797" t="s">
        <v>1869</v>
      </c>
      <c r="N148" s="798">
        <v>0</v>
      </c>
      <c r="O148" s="797" t="s">
        <v>840</v>
      </c>
      <c r="P148" s="797" t="s">
        <v>1804</v>
      </c>
      <c r="Q148" s="797"/>
    </row>
    <row r="149" spans="1:17" ht="24.5" thickBot="1">
      <c r="A149" s="796" t="s">
        <v>1865</v>
      </c>
      <c r="B149" s="797" t="s">
        <v>1866</v>
      </c>
      <c r="C149" s="797">
        <v>218</v>
      </c>
      <c r="D149" s="797" t="s">
        <v>325</v>
      </c>
      <c r="E149" s="797">
        <v>7225</v>
      </c>
      <c r="F149" s="797" t="s">
        <v>1870</v>
      </c>
      <c r="G149" s="797">
        <v>6791</v>
      </c>
      <c r="H149" s="797" t="s">
        <v>1867</v>
      </c>
      <c r="I149" s="797">
        <v>2002</v>
      </c>
      <c r="J149" s="797">
        <v>2002</v>
      </c>
      <c r="K149" s="797">
        <v>3050</v>
      </c>
      <c r="L149" s="797" t="s">
        <v>1868</v>
      </c>
      <c r="M149" s="797" t="s">
        <v>1871</v>
      </c>
      <c r="N149" s="798">
        <v>0</v>
      </c>
      <c r="O149" s="797" t="s">
        <v>840</v>
      </c>
      <c r="P149" s="797" t="s">
        <v>1804</v>
      </c>
      <c r="Q149" s="797"/>
    </row>
    <row r="150" spans="1:17" ht="24.5" thickBot="1">
      <c r="A150" s="796" t="s">
        <v>1865</v>
      </c>
      <c r="B150" s="797" t="s">
        <v>1866</v>
      </c>
      <c r="C150" s="797">
        <v>218</v>
      </c>
      <c r="D150" s="797" t="s">
        <v>325</v>
      </c>
      <c r="E150" s="797">
        <v>7230</v>
      </c>
      <c r="F150" s="797" t="s">
        <v>232</v>
      </c>
      <c r="G150" s="797">
        <v>6791</v>
      </c>
      <c r="H150" s="797" t="s">
        <v>1867</v>
      </c>
      <c r="I150" s="797">
        <v>2002</v>
      </c>
      <c r="J150" s="797">
        <v>2002</v>
      </c>
      <c r="K150" s="797">
        <v>3050</v>
      </c>
      <c r="L150" s="797" t="s">
        <v>1868</v>
      </c>
      <c r="M150" s="797" t="s">
        <v>1871</v>
      </c>
      <c r="N150" s="798">
        <v>0</v>
      </c>
      <c r="O150" s="797" t="s">
        <v>840</v>
      </c>
      <c r="P150" s="797" t="s">
        <v>1804</v>
      </c>
      <c r="Q150" s="797"/>
    </row>
    <row r="151" spans="1:17" ht="24.5" thickBot="1">
      <c r="A151" s="796" t="s">
        <v>1865</v>
      </c>
      <c r="B151" s="797" t="s">
        <v>1866</v>
      </c>
      <c r="C151" s="797">
        <v>218</v>
      </c>
      <c r="D151" s="797" t="s">
        <v>325</v>
      </c>
      <c r="E151" s="797">
        <v>7246</v>
      </c>
      <c r="F151" s="797" t="s">
        <v>1047</v>
      </c>
      <c r="G151" s="797">
        <v>6791</v>
      </c>
      <c r="H151" s="797" t="s">
        <v>1867</v>
      </c>
      <c r="I151" s="797">
        <v>2003</v>
      </c>
      <c r="J151" s="797">
        <v>2003</v>
      </c>
      <c r="K151" s="797">
        <v>3050</v>
      </c>
      <c r="L151" s="797" t="s">
        <v>1868</v>
      </c>
      <c r="M151" s="797" t="s">
        <v>1869</v>
      </c>
      <c r="N151" s="1794">
        <v>213706</v>
      </c>
      <c r="O151" s="797" t="s">
        <v>840</v>
      </c>
      <c r="P151" s="797" t="s">
        <v>1804</v>
      </c>
      <c r="Q151" s="797"/>
    </row>
    <row r="152" spans="1:17" ht="24.5" thickBot="1">
      <c r="A152" s="796" t="s">
        <v>1865</v>
      </c>
      <c r="B152" s="797" t="s">
        <v>1866</v>
      </c>
      <c r="C152" s="797">
        <v>218</v>
      </c>
      <c r="D152" s="797" t="s">
        <v>325</v>
      </c>
      <c r="E152" s="797">
        <v>7225</v>
      </c>
      <c r="F152" s="797" t="s">
        <v>1870</v>
      </c>
      <c r="G152" s="797">
        <v>6791</v>
      </c>
      <c r="H152" s="797" t="s">
        <v>1867</v>
      </c>
      <c r="I152" s="797">
        <v>2003</v>
      </c>
      <c r="J152" s="797">
        <v>2003</v>
      </c>
      <c r="K152" s="797">
        <v>3050</v>
      </c>
      <c r="L152" s="797" t="s">
        <v>1868</v>
      </c>
      <c r="M152" s="797" t="s">
        <v>1871</v>
      </c>
      <c r="N152" s="798" t="s">
        <v>1886</v>
      </c>
      <c r="O152" s="797" t="s">
        <v>840</v>
      </c>
      <c r="P152" s="797" t="s">
        <v>1804</v>
      </c>
      <c r="Q152" s="797"/>
    </row>
    <row r="153" spans="1:17" ht="24.5" thickBot="1">
      <c r="A153" s="796" t="s">
        <v>1865</v>
      </c>
      <c r="B153" s="797" t="s">
        <v>1866</v>
      </c>
      <c r="C153" s="797">
        <v>218</v>
      </c>
      <c r="D153" s="797" t="s">
        <v>325</v>
      </c>
      <c r="E153" s="797">
        <v>7230</v>
      </c>
      <c r="F153" s="797" t="s">
        <v>232</v>
      </c>
      <c r="G153" s="797">
        <v>6791</v>
      </c>
      <c r="H153" s="797" t="s">
        <v>1867</v>
      </c>
      <c r="I153" s="797">
        <v>2003</v>
      </c>
      <c r="J153" s="797">
        <v>2003</v>
      </c>
      <c r="K153" s="797">
        <v>3050</v>
      </c>
      <c r="L153" s="797" t="s">
        <v>1868</v>
      </c>
      <c r="M153" s="797" t="s">
        <v>1871</v>
      </c>
      <c r="N153" s="798" t="s">
        <v>1887</v>
      </c>
      <c r="O153" s="797" t="s">
        <v>840</v>
      </c>
      <c r="P153" s="797" t="s">
        <v>1804</v>
      </c>
      <c r="Q153" s="797"/>
    </row>
    <row r="154" spans="1:17" ht="24.5" thickBot="1">
      <c r="A154" s="796" t="s">
        <v>1865</v>
      </c>
      <c r="B154" s="797" t="s">
        <v>1866</v>
      </c>
      <c r="C154" s="797">
        <v>218</v>
      </c>
      <c r="D154" s="797" t="s">
        <v>325</v>
      </c>
      <c r="E154" s="797">
        <v>7246</v>
      </c>
      <c r="F154" s="797" t="s">
        <v>1047</v>
      </c>
      <c r="G154" s="797">
        <v>6791</v>
      </c>
      <c r="H154" s="797" t="s">
        <v>1867</v>
      </c>
      <c r="I154" s="797">
        <v>2004</v>
      </c>
      <c r="J154" s="797">
        <v>2004</v>
      </c>
      <c r="K154" s="797">
        <v>3050</v>
      </c>
      <c r="L154" s="797" t="s">
        <v>1868</v>
      </c>
      <c r="M154" s="797" t="s">
        <v>1869</v>
      </c>
      <c r="N154" s="798">
        <v>0</v>
      </c>
      <c r="O154" s="797" t="s">
        <v>840</v>
      </c>
      <c r="P154" s="797" t="s">
        <v>1804</v>
      </c>
      <c r="Q154" s="797"/>
    </row>
    <row r="155" spans="1:17" ht="24.5" thickBot="1">
      <c r="A155" s="796" t="s">
        <v>1865</v>
      </c>
      <c r="B155" s="797" t="s">
        <v>1866</v>
      </c>
      <c r="C155" s="797">
        <v>218</v>
      </c>
      <c r="D155" s="797" t="s">
        <v>325</v>
      </c>
      <c r="E155" s="797">
        <v>7225</v>
      </c>
      <c r="F155" s="797" t="s">
        <v>1870</v>
      </c>
      <c r="G155" s="797">
        <v>6791</v>
      </c>
      <c r="H155" s="797" t="s">
        <v>1867</v>
      </c>
      <c r="I155" s="797">
        <v>2004</v>
      </c>
      <c r="J155" s="797">
        <v>2004</v>
      </c>
      <c r="K155" s="797">
        <v>3050</v>
      </c>
      <c r="L155" s="797" t="s">
        <v>1868</v>
      </c>
      <c r="M155" s="797" t="s">
        <v>1871</v>
      </c>
      <c r="N155" s="798">
        <v>0</v>
      </c>
      <c r="O155" s="797" t="s">
        <v>840</v>
      </c>
      <c r="P155" s="797" t="s">
        <v>1804</v>
      </c>
      <c r="Q155" s="797"/>
    </row>
    <row r="156" spans="1:17" ht="24.5" thickBot="1">
      <c r="A156" s="796" t="s">
        <v>1865</v>
      </c>
      <c r="B156" s="797" t="s">
        <v>1866</v>
      </c>
      <c r="C156" s="797">
        <v>218</v>
      </c>
      <c r="D156" s="797" t="s">
        <v>325</v>
      </c>
      <c r="E156" s="797">
        <v>7230</v>
      </c>
      <c r="F156" s="797" t="s">
        <v>232</v>
      </c>
      <c r="G156" s="797">
        <v>6791</v>
      </c>
      <c r="H156" s="797" t="s">
        <v>1867</v>
      </c>
      <c r="I156" s="797">
        <v>2004</v>
      </c>
      <c r="J156" s="797">
        <v>2004</v>
      </c>
      <c r="K156" s="797">
        <v>3050</v>
      </c>
      <c r="L156" s="797" t="s">
        <v>1868</v>
      </c>
      <c r="M156" s="797" t="s">
        <v>1871</v>
      </c>
      <c r="N156" s="798">
        <v>0</v>
      </c>
      <c r="O156" s="797" t="s">
        <v>840</v>
      </c>
      <c r="P156" s="797" t="s">
        <v>1804</v>
      </c>
      <c r="Q156" s="797"/>
    </row>
    <row r="157" spans="1:17" ht="24.5" thickBot="1">
      <c r="A157" s="796" t="s">
        <v>1865</v>
      </c>
      <c r="B157" s="797" t="s">
        <v>1866</v>
      </c>
      <c r="C157" s="797">
        <v>218</v>
      </c>
      <c r="D157" s="797" t="s">
        <v>325</v>
      </c>
      <c r="E157" s="797">
        <v>7246</v>
      </c>
      <c r="F157" s="797" t="s">
        <v>1047</v>
      </c>
      <c r="G157" s="797">
        <v>6791</v>
      </c>
      <c r="H157" s="797" t="s">
        <v>1867</v>
      </c>
      <c r="I157" s="797">
        <v>2005</v>
      </c>
      <c r="J157" s="797">
        <v>2005</v>
      </c>
      <c r="K157" s="797">
        <v>3050</v>
      </c>
      <c r="L157" s="797" t="s">
        <v>1868</v>
      </c>
      <c r="M157" s="797" t="s">
        <v>1869</v>
      </c>
      <c r="N157" s="1794">
        <v>5556211</v>
      </c>
      <c r="O157" s="797" t="s">
        <v>840</v>
      </c>
      <c r="P157" s="797" t="s">
        <v>1804</v>
      </c>
      <c r="Q157" s="797"/>
    </row>
    <row r="158" spans="1:17" ht="24.5" thickBot="1">
      <c r="A158" s="796" t="s">
        <v>1865</v>
      </c>
      <c r="B158" s="797" t="s">
        <v>1866</v>
      </c>
      <c r="C158" s="797">
        <v>218</v>
      </c>
      <c r="D158" s="797" t="s">
        <v>325</v>
      </c>
      <c r="E158" s="797">
        <v>7225</v>
      </c>
      <c r="F158" s="797" t="s">
        <v>1870</v>
      </c>
      <c r="G158" s="797">
        <v>6791</v>
      </c>
      <c r="H158" s="797" t="s">
        <v>1867</v>
      </c>
      <c r="I158" s="797">
        <v>2005</v>
      </c>
      <c r="J158" s="797">
        <v>2005</v>
      </c>
      <c r="K158" s="797">
        <v>3050</v>
      </c>
      <c r="L158" s="797" t="s">
        <v>1868</v>
      </c>
      <c r="M158" s="797" t="s">
        <v>1871</v>
      </c>
      <c r="N158" s="798" t="s">
        <v>1888</v>
      </c>
      <c r="O158" s="797" t="s">
        <v>840</v>
      </c>
      <c r="P158" s="797" t="s">
        <v>1804</v>
      </c>
      <c r="Q158" s="797"/>
    </row>
    <row r="159" spans="1:17" ht="24.5" thickBot="1">
      <c r="A159" s="796" t="s">
        <v>1865</v>
      </c>
      <c r="B159" s="797" t="s">
        <v>1866</v>
      </c>
      <c r="C159" s="797">
        <v>218</v>
      </c>
      <c r="D159" s="797" t="s">
        <v>325</v>
      </c>
      <c r="E159" s="797">
        <v>7230</v>
      </c>
      <c r="F159" s="797" t="s">
        <v>232</v>
      </c>
      <c r="G159" s="797">
        <v>6791</v>
      </c>
      <c r="H159" s="797" t="s">
        <v>1867</v>
      </c>
      <c r="I159" s="797">
        <v>2005</v>
      </c>
      <c r="J159" s="797">
        <v>2005</v>
      </c>
      <c r="K159" s="797">
        <v>3050</v>
      </c>
      <c r="L159" s="797" t="s">
        <v>1868</v>
      </c>
      <c r="M159" s="797" t="s">
        <v>1871</v>
      </c>
      <c r="N159" s="798" t="s">
        <v>1889</v>
      </c>
      <c r="O159" s="797" t="s">
        <v>840</v>
      </c>
      <c r="P159" s="797" t="s">
        <v>1804</v>
      </c>
      <c r="Q159" s="797"/>
    </row>
    <row r="160" spans="1:17" ht="24.5" thickBot="1">
      <c r="A160" s="796" t="s">
        <v>1865</v>
      </c>
      <c r="B160" s="797" t="s">
        <v>1866</v>
      </c>
      <c r="C160" s="797">
        <v>218</v>
      </c>
      <c r="D160" s="797" t="s">
        <v>325</v>
      </c>
      <c r="E160" s="797">
        <v>7246</v>
      </c>
      <c r="F160" s="797" t="s">
        <v>1047</v>
      </c>
      <c r="G160" s="797">
        <v>6791</v>
      </c>
      <c r="H160" s="797" t="s">
        <v>1867</v>
      </c>
      <c r="I160" s="797">
        <v>2006</v>
      </c>
      <c r="J160" s="797">
        <v>2006</v>
      </c>
      <c r="K160" s="797">
        <v>3050</v>
      </c>
      <c r="L160" s="797" t="s">
        <v>1868</v>
      </c>
      <c r="M160" s="797" t="s">
        <v>1869</v>
      </c>
      <c r="N160" s="1794">
        <v>213701</v>
      </c>
      <c r="O160" s="797" t="s">
        <v>840</v>
      </c>
      <c r="P160" s="797" t="s">
        <v>1804</v>
      </c>
      <c r="Q160" s="797"/>
    </row>
    <row r="161" spans="1:17" ht="24.5" thickBot="1">
      <c r="A161" s="796" t="s">
        <v>1865</v>
      </c>
      <c r="B161" s="797" t="s">
        <v>1866</v>
      </c>
      <c r="C161" s="797">
        <v>218</v>
      </c>
      <c r="D161" s="797" t="s">
        <v>325</v>
      </c>
      <c r="E161" s="797">
        <v>7225</v>
      </c>
      <c r="F161" s="797" t="s">
        <v>1870</v>
      </c>
      <c r="G161" s="797">
        <v>6791</v>
      </c>
      <c r="H161" s="797" t="s">
        <v>1867</v>
      </c>
      <c r="I161" s="797">
        <v>2006</v>
      </c>
      <c r="J161" s="797">
        <v>2006</v>
      </c>
      <c r="K161" s="797">
        <v>3050</v>
      </c>
      <c r="L161" s="797" t="s">
        <v>1868</v>
      </c>
      <c r="M161" s="797" t="s">
        <v>1871</v>
      </c>
      <c r="N161" s="798" t="s">
        <v>1886</v>
      </c>
      <c r="O161" s="797" t="s">
        <v>840</v>
      </c>
      <c r="P161" s="797" t="s">
        <v>1804</v>
      </c>
      <c r="Q161" s="797"/>
    </row>
    <row r="162" spans="1:17" ht="24.5" thickBot="1">
      <c r="A162" s="796" t="s">
        <v>1865</v>
      </c>
      <c r="B162" s="797" t="s">
        <v>1866</v>
      </c>
      <c r="C162" s="797">
        <v>218</v>
      </c>
      <c r="D162" s="797" t="s">
        <v>325</v>
      </c>
      <c r="E162" s="797">
        <v>7230</v>
      </c>
      <c r="F162" s="797" t="s">
        <v>232</v>
      </c>
      <c r="G162" s="797">
        <v>6791</v>
      </c>
      <c r="H162" s="797" t="s">
        <v>1867</v>
      </c>
      <c r="I162" s="797">
        <v>2006</v>
      </c>
      <c r="J162" s="797">
        <v>2006</v>
      </c>
      <c r="K162" s="797">
        <v>3050</v>
      </c>
      <c r="L162" s="797" t="s">
        <v>1868</v>
      </c>
      <c r="M162" s="797" t="s">
        <v>1871</v>
      </c>
      <c r="N162" s="798" t="s">
        <v>1887</v>
      </c>
      <c r="O162" s="797" t="s">
        <v>840</v>
      </c>
      <c r="P162" s="797" t="s">
        <v>1804</v>
      </c>
      <c r="Q162" s="797"/>
    </row>
    <row r="163" spans="1:17" ht="24.5" thickBot="1">
      <c r="A163" s="796" t="s">
        <v>1865</v>
      </c>
      <c r="B163" s="797" t="s">
        <v>1866</v>
      </c>
      <c r="C163" s="797">
        <v>218</v>
      </c>
      <c r="D163" s="797" t="s">
        <v>325</v>
      </c>
      <c r="E163" s="797">
        <v>7246</v>
      </c>
      <c r="F163" s="797" t="s">
        <v>1047</v>
      </c>
      <c r="G163" s="797">
        <v>6791</v>
      </c>
      <c r="H163" s="797" t="s">
        <v>1867</v>
      </c>
      <c r="I163" s="797">
        <v>2007</v>
      </c>
      <c r="J163" s="797">
        <v>2007</v>
      </c>
      <c r="K163" s="797">
        <v>3050</v>
      </c>
      <c r="L163" s="797" t="s">
        <v>1868</v>
      </c>
      <c r="M163" s="797" t="s">
        <v>1869</v>
      </c>
      <c r="N163" s="798">
        <v>0</v>
      </c>
      <c r="O163" s="797" t="s">
        <v>840</v>
      </c>
      <c r="P163" s="797" t="s">
        <v>1804</v>
      </c>
      <c r="Q163" s="797"/>
    </row>
    <row r="164" spans="1:17" ht="24.5" thickBot="1">
      <c r="A164" s="796" t="s">
        <v>1865</v>
      </c>
      <c r="B164" s="797" t="s">
        <v>1866</v>
      </c>
      <c r="C164" s="797">
        <v>218</v>
      </c>
      <c r="D164" s="797" t="s">
        <v>325</v>
      </c>
      <c r="E164" s="797">
        <v>7225</v>
      </c>
      <c r="F164" s="797" t="s">
        <v>1870</v>
      </c>
      <c r="G164" s="797">
        <v>6791</v>
      </c>
      <c r="H164" s="797" t="s">
        <v>1867</v>
      </c>
      <c r="I164" s="797">
        <v>2007</v>
      </c>
      <c r="J164" s="797">
        <v>2007</v>
      </c>
      <c r="K164" s="797">
        <v>3050</v>
      </c>
      <c r="L164" s="797" t="s">
        <v>1868</v>
      </c>
      <c r="M164" s="797" t="s">
        <v>1871</v>
      </c>
      <c r="N164" s="798">
        <v>0</v>
      </c>
      <c r="O164" s="797" t="s">
        <v>840</v>
      </c>
      <c r="P164" s="797" t="s">
        <v>1804</v>
      </c>
      <c r="Q164" s="797"/>
    </row>
    <row r="165" spans="1:17" ht="24.5" thickBot="1">
      <c r="A165" s="796" t="s">
        <v>1865</v>
      </c>
      <c r="B165" s="797" t="s">
        <v>1866</v>
      </c>
      <c r="C165" s="797">
        <v>218</v>
      </c>
      <c r="D165" s="797" t="s">
        <v>325</v>
      </c>
      <c r="E165" s="797">
        <v>7230</v>
      </c>
      <c r="F165" s="797" t="s">
        <v>232</v>
      </c>
      <c r="G165" s="797">
        <v>6791</v>
      </c>
      <c r="H165" s="797" t="s">
        <v>1867</v>
      </c>
      <c r="I165" s="797">
        <v>2007</v>
      </c>
      <c r="J165" s="797">
        <v>2007</v>
      </c>
      <c r="K165" s="797">
        <v>3050</v>
      </c>
      <c r="L165" s="797" t="s">
        <v>1868</v>
      </c>
      <c r="M165" s="797" t="s">
        <v>1871</v>
      </c>
      <c r="N165" s="798">
        <v>0</v>
      </c>
      <c r="O165" s="797" t="s">
        <v>840</v>
      </c>
      <c r="P165" s="797" t="s">
        <v>1804</v>
      </c>
      <c r="Q165" s="797"/>
    </row>
    <row r="166" spans="1:17" ht="24.5" thickBot="1">
      <c r="A166" s="796" t="s">
        <v>1865</v>
      </c>
      <c r="B166" s="797" t="s">
        <v>1866</v>
      </c>
      <c r="C166" s="797">
        <v>218</v>
      </c>
      <c r="D166" s="797" t="s">
        <v>325</v>
      </c>
      <c r="E166" s="797">
        <v>7246</v>
      </c>
      <c r="F166" s="797" t="s">
        <v>1047</v>
      </c>
      <c r="G166" s="797">
        <v>6791</v>
      </c>
      <c r="H166" s="797" t="s">
        <v>1867</v>
      </c>
      <c r="I166" s="797">
        <v>2008</v>
      </c>
      <c r="J166" s="797">
        <v>2008</v>
      </c>
      <c r="K166" s="797">
        <v>3050</v>
      </c>
      <c r="L166" s="797" t="s">
        <v>1868</v>
      </c>
      <c r="M166" s="797" t="s">
        <v>1869</v>
      </c>
      <c r="N166" s="798">
        <v>0</v>
      </c>
      <c r="O166" s="797" t="s">
        <v>840</v>
      </c>
      <c r="P166" s="797" t="s">
        <v>1804</v>
      </c>
      <c r="Q166" s="797"/>
    </row>
    <row r="167" spans="1:17" ht="24.5" thickBot="1">
      <c r="A167" s="796" t="s">
        <v>1865</v>
      </c>
      <c r="B167" s="797" t="s">
        <v>1866</v>
      </c>
      <c r="C167" s="797">
        <v>218</v>
      </c>
      <c r="D167" s="797" t="s">
        <v>325</v>
      </c>
      <c r="E167" s="797">
        <v>7225</v>
      </c>
      <c r="F167" s="797" t="s">
        <v>1870</v>
      </c>
      <c r="G167" s="797">
        <v>6791</v>
      </c>
      <c r="H167" s="797" t="s">
        <v>1867</v>
      </c>
      <c r="I167" s="797">
        <v>2008</v>
      </c>
      <c r="J167" s="797">
        <v>2008</v>
      </c>
      <c r="K167" s="797">
        <v>3050</v>
      </c>
      <c r="L167" s="797" t="s">
        <v>1868</v>
      </c>
      <c r="M167" s="797" t="s">
        <v>1871</v>
      </c>
      <c r="N167" s="798">
        <v>0</v>
      </c>
      <c r="O167" s="797" t="s">
        <v>840</v>
      </c>
      <c r="P167" s="797" t="s">
        <v>1804</v>
      </c>
      <c r="Q167" s="797"/>
    </row>
    <row r="168" spans="1:17" ht="24.5" thickBot="1">
      <c r="A168" s="796" t="s">
        <v>1865</v>
      </c>
      <c r="B168" s="797" t="s">
        <v>1866</v>
      </c>
      <c r="C168" s="797">
        <v>218</v>
      </c>
      <c r="D168" s="797" t="s">
        <v>325</v>
      </c>
      <c r="E168" s="797">
        <v>7230</v>
      </c>
      <c r="F168" s="797" t="s">
        <v>232</v>
      </c>
      <c r="G168" s="797">
        <v>6791</v>
      </c>
      <c r="H168" s="797" t="s">
        <v>1867</v>
      </c>
      <c r="I168" s="797">
        <v>2008</v>
      </c>
      <c r="J168" s="797">
        <v>2008</v>
      </c>
      <c r="K168" s="797">
        <v>3050</v>
      </c>
      <c r="L168" s="797" t="s">
        <v>1868</v>
      </c>
      <c r="M168" s="797" t="s">
        <v>1871</v>
      </c>
      <c r="N168" s="798">
        <v>0</v>
      </c>
      <c r="O168" s="797" t="s">
        <v>840</v>
      </c>
      <c r="P168" s="797" t="s">
        <v>1804</v>
      </c>
      <c r="Q168" s="797"/>
    </row>
    <row r="169" spans="1:17" ht="24.5" thickBot="1">
      <c r="A169" s="796" t="s">
        <v>1865</v>
      </c>
      <c r="B169" s="797" t="s">
        <v>1866</v>
      </c>
      <c r="C169" s="797">
        <v>218</v>
      </c>
      <c r="D169" s="797" t="s">
        <v>325</v>
      </c>
      <c r="E169" s="797">
        <v>7246</v>
      </c>
      <c r="F169" s="797" t="s">
        <v>1047</v>
      </c>
      <c r="G169" s="797">
        <v>6791</v>
      </c>
      <c r="H169" s="797" t="s">
        <v>1867</v>
      </c>
      <c r="I169" s="797">
        <v>2009</v>
      </c>
      <c r="J169" s="797">
        <v>2009</v>
      </c>
      <c r="K169" s="797">
        <v>3050</v>
      </c>
      <c r="L169" s="797" t="s">
        <v>1868</v>
      </c>
      <c r="M169" s="797" t="s">
        <v>1869</v>
      </c>
      <c r="N169" s="1794">
        <v>213707</v>
      </c>
      <c r="O169" s="797" t="s">
        <v>840</v>
      </c>
      <c r="P169" s="797" t="s">
        <v>1804</v>
      </c>
      <c r="Q169" s="797"/>
    </row>
    <row r="170" spans="1:17" ht="24.5" thickBot="1">
      <c r="A170" s="796" t="s">
        <v>1865</v>
      </c>
      <c r="B170" s="797" t="s">
        <v>1866</v>
      </c>
      <c r="C170" s="797">
        <v>218</v>
      </c>
      <c r="D170" s="797" t="s">
        <v>325</v>
      </c>
      <c r="E170" s="797">
        <v>7225</v>
      </c>
      <c r="F170" s="797" t="s">
        <v>1870</v>
      </c>
      <c r="G170" s="797">
        <v>6791</v>
      </c>
      <c r="H170" s="797" t="s">
        <v>1867</v>
      </c>
      <c r="I170" s="797">
        <v>2009</v>
      </c>
      <c r="J170" s="797">
        <v>2009</v>
      </c>
      <c r="K170" s="797">
        <v>3050</v>
      </c>
      <c r="L170" s="797" t="s">
        <v>1868</v>
      </c>
      <c r="M170" s="797" t="s">
        <v>1871</v>
      </c>
      <c r="N170" s="798" t="s">
        <v>1886</v>
      </c>
      <c r="O170" s="797" t="s">
        <v>840</v>
      </c>
      <c r="P170" s="797" t="s">
        <v>1804</v>
      </c>
      <c r="Q170" s="797"/>
    </row>
    <row r="171" spans="1:17" ht="24.5" thickBot="1">
      <c r="A171" s="796" t="s">
        <v>1865</v>
      </c>
      <c r="B171" s="797" t="s">
        <v>1866</v>
      </c>
      <c r="C171" s="797">
        <v>218</v>
      </c>
      <c r="D171" s="797" t="s">
        <v>325</v>
      </c>
      <c r="E171" s="797">
        <v>7230</v>
      </c>
      <c r="F171" s="797" t="s">
        <v>232</v>
      </c>
      <c r="G171" s="797">
        <v>6791</v>
      </c>
      <c r="H171" s="797" t="s">
        <v>1867</v>
      </c>
      <c r="I171" s="797">
        <v>2009</v>
      </c>
      <c r="J171" s="797">
        <v>2009</v>
      </c>
      <c r="K171" s="797">
        <v>3050</v>
      </c>
      <c r="L171" s="797" t="s">
        <v>1868</v>
      </c>
      <c r="M171" s="797" t="s">
        <v>1871</v>
      </c>
      <c r="N171" s="798" t="s">
        <v>1887</v>
      </c>
      <c r="O171" s="797" t="s">
        <v>840</v>
      </c>
      <c r="P171" s="797" t="s">
        <v>1804</v>
      </c>
      <c r="Q171" s="797"/>
    </row>
    <row r="172" spans="1:17" ht="24.5" thickBot="1">
      <c r="A172" s="796" t="s">
        <v>1865</v>
      </c>
      <c r="B172" s="797" t="s">
        <v>1866</v>
      </c>
      <c r="C172" s="797">
        <v>218</v>
      </c>
      <c r="D172" s="797" t="s">
        <v>325</v>
      </c>
      <c r="E172" s="797">
        <v>7246</v>
      </c>
      <c r="F172" s="797" t="s">
        <v>1047</v>
      </c>
      <c r="G172" s="797">
        <v>6791</v>
      </c>
      <c r="H172" s="797" t="s">
        <v>1867</v>
      </c>
      <c r="I172" s="797">
        <v>2010</v>
      </c>
      <c r="J172" s="797">
        <v>2010</v>
      </c>
      <c r="K172" s="797">
        <v>3050</v>
      </c>
      <c r="L172" s="797" t="s">
        <v>1868</v>
      </c>
      <c r="M172" s="797" t="s">
        <v>1869</v>
      </c>
      <c r="N172" s="798">
        <v>0</v>
      </c>
      <c r="O172" s="797" t="s">
        <v>840</v>
      </c>
      <c r="P172" s="797" t="s">
        <v>1804</v>
      </c>
      <c r="Q172" s="797"/>
    </row>
    <row r="173" spans="1:17" ht="24.5" thickBot="1">
      <c r="A173" s="796" t="s">
        <v>1865</v>
      </c>
      <c r="B173" s="797" t="s">
        <v>1866</v>
      </c>
      <c r="C173" s="797">
        <v>218</v>
      </c>
      <c r="D173" s="797" t="s">
        <v>325</v>
      </c>
      <c r="E173" s="797">
        <v>7225</v>
      </c>
      <c r="F173" s="797" t="s">
        <v>1870</v>
      </c>
      <c r="G173" s="797">
        <v>6791</v>
      </c>
      <c r="H173" s="797" t="s">
        <v>1867</v>
      </c>
      <c r="I173" s="797">
        <v>2010</v>
      </c>
      <c r="J173" s="797">
        <v>2010</v>
      </c>
      <c r="K173" s="797">
        <v>3050</v>
      </c>
      <c r="L173" s="797" t="s">
        <v>1868</v>
      </c>
      <c r="M173" s="797" t="s">
        <v>1871</v>
      </c>
      <c r="N173" s="798">
        <v>0</v>
      </c>
      <c r="O173" s="797" t="s">
        <v>840</v>
      </c>
      <c r="P173" s="797" t="s">
        <v>1804</v>
      </c>
      <c r="Q173" s="797"/>
    </row>
    <row r="174" spans="1:17" ht="24.5" thickBot="1">
      <c r="A174" s="796" t="s">
        <v>1865</v>
      </c>
      <c r="B174" s="797" t="s">
        <v>1866</v>
      </c>
      <c r="C174" s="797">
        <v>218</v>
      </c>
      <c r="D174" s="797" t="s">
        <v>325</v>
      </c>
      <c r="E174" s="797">
        <v>7230</v>
      </c>
      <c r="F174" s="797" t="s">
        <v>232</v>
      </c>
      <c r="G174" s="797">
        <v>6791</v>
      </c>
      <c r="H174" s="797" t="s">
        <v>1867</v>
      </c>
      <c r="I174" s="797">
        <v>2010</v>
      </c>
      <c r="J174" s="797">
        <v>2010</v>
      </c>
      <c r="K174" s="797">
        <v>3050</v>
      </c>
      <c r="L174" s="797" t="s">
        <v>1868</v>
      </c>
      <c r="M174" s="797" t="s">
        <v>1871</v>
      </c>
      <c r="N174" s="798">
        <v>0</v>
      </c>
      <c r="O174" s="797" t="s">
        <v>840</v>
      </c>
      <c r="P174" s="797" t="s">
        <v>1804</v>
      </c>
      <c r="Q174" s="797"/>
    </row>
    <row r="175" spans="1:17" ht="24.5" thickBot="1">
      <c r="A175" s="796" t="s">
        <v>1865</v>
      </c>
      <c r="B175" s="797" t="s">
        <v>1866</v>
      </c>
      <c r="C175" s="797">
        <v>218</v>
      </c>
      <c r="D175" s="797" t="s">
        <v>325</v>
      </c>
      <c r="E175" s="797">
        <v>7246</v>
      </c>
      <c r="F175" s="797" t="s">
        <v>1047</v>
      </c>
      <c r="G175" s="797">
        <v>6791</v>
      </c>
      <c r="H175" s="797" t="s">
        <v>1867</v>
      </c>
      <c r="I175" s="797">
        <v>2011</v>
      </c>
      <c r="J175" s="797">
        <v>2011</v>
      </c>
      <c r="K175" s="797">
        <v>3050</v>
      </c>
      <c r="L175" s="797" t="s">
        <v>1868</v>
      </c>
      <c r="M175" s="797" t="s">
        <v>1869</v>
      </c>
      <c r="N175" s="798">
        <v>0</v>
      </c>
      <c r="O175" s="797" t="s">
        <v>840</v>
      </c>
      <c r="P175" s="797" t="s">
        <v>1804</v>
      </c>
      <c r="Q175" s="797"/>
    </row>
    <row r="176" spans="1:17" ht="24.5" thickBot="1">
      <c r="A176" s="796" t="s">
        <v>1865</v>
      </c>
      <c r="B176" s="797" t="s">
        <v>1866</v>
      </c>
      <c r="C176" s="797">
        <v>218</v>
      </c>
      <c r="D176" s="797" t="s">
        <v>325</v>
      </c>
      <c r="E176" s="797">
        <v>7225</v>
      </c>
      <c r="F176" s="797" t="s">
        <v>1870</v>
      </c>
      <c r="G176" s="797">
        <v>6791</v>
      </c>
      <c r="H176" s="797" t="s">
        <v>1867</v>
      </c>
      <c r="I176" s="797">
        <v>2011</v>
      </c>
      <c r="J176" s="797">
        <v>2011</v>
      </c>
      <c r="K176" s="797">
        <v>3050</v>
      </c>
      <c r="L176" s="797" t="s">
        <v>1868</v>
      </c>
      <c r="M176" s="797" t="s">
        <v>1871</v>
      </c>
      <c r="N176" s="798">
        <v>0</v>
      </c>
      <c r="O176" s="797" t="s">
        <v>840</v>
      </c>
      <c r="P176" s="797" t="s">
        <v>1804</v>
      </c>
      <c r="Q176" s="797"/>
    </row>
    <row r="177" spans="1:17" ht="24.5" thickBot="1">
      <c r="A177" s="796" t="s">
        <v>1865</v>
      </c>
      <c r="B177" s="797" t="s">
        <v>1866</v>
      </c>
      <c r="C177" s="797">
        <v>218</v>
      </c>
      <c r="D177" s="797" t="s">
        <v>325</v>
      </c>
      <c r="E177" s="797">
        <v>7230</v>
      </c>
      <c r="F177" s="797" t="s">
        <v>232</v>
      </c>
      <c r="G177" s="797">
        <v>6791</v>
      </c>
      <c r="H177" s="797" t="s">
        <v>1867</v>
      </c>
      <c r="I177" s="797">
        <v>2011</v>
      </c>
      <c r="J177" s="797">
        <v>2011</v>
      </c>
      <c r="K177" s="797">
        <v>3050</v>
      </c>
      <c r="L177" s="797" t="s">
        <v>1868</v>
      </c>
      <c r="M177" s="797" t="s">
        <v>1871</v>
      </c>
      <c r="N177" s="798">
        <v>0</v>
      </c>
      <c r="O177" s="797" t="s">
        <v>840</v>
      </c>
      <c r="P177" s="797" t="s">
        <v>1804</v>
      </c>
      <c r="Q177" s="797"/>
    </row>
    <row r="178" spans="1:17" ht="24.5" thickBot="1">
      <c r="A178" s="796" t="s">
        <v>1865</v>
      </c>
      <c r="B178" s="797" t="s">
        <v>1866</v>
      </c>
      <c r="C178" s="797">
        <v>218</v>
      </c>
      <c r="D178" s="797" t="s">
        <v>325</v>
      </c>
      <c r="E178" s="797">
        <v>7246</v>
      </c>
      <c r="F178" s="797" t="s">
        <v>1047</v>
      </c>
      <c r="G178" s="797">
        <v>6791</v>
      </c>
      <c r="H178" s="797" t="s">
        <v>1867</v>
      </c>
      <c r="I178" s="797">
        <v>2012</v>
      </c>
      <c r="J178" s="797">
        <v>2012</v>
      </c>
      <c r="K178" s="797">
        <v>3050</v>
      </c>
      <c r="L178" s="797" t="s">
        <v>1868</v>
      </c>
      <c r="M178" s="797" t="s">
        <v>1869</v>
      </c>
      <c r="N178" s="1794">
        <v>213702</v>
      </c>
      <c r="O178" s="797" t="s">
        <v>840</v>
      </c>
      <c r="P178" s="797" t="s">
        <v>1804</v>
      </c>
      <c r="Q178" s="797"/>
    </row>
    <row r="179" spans="1:17" ht="24.5" thickBot="1">
      <c r="A179" s="796" t="s">
        <v>1865</v>
      </c>
      <c r="B179" s="797" t="s">
        <v>1866</v>
      </c>
      <c r="C179" s="797">
        <v>218</v>
      </c>
      <c r="D179" s="797" t="s">
        <v>325</v>
      </c>
      <c r="E179" s="797">
        <v>7225</v>
      </c>
      <c r="F179" s="797" t="s">
        <v>1870</v>
      </c>
      <c r="G179" s="797">
        <v>6791</v>
      </c>
      <c r="H179" s="797" t="s">
        <v>1867</v>
      </c>
      <c r="I179" s="797">
        <v>2012</v>
      </c>
      <c r="J179" s="797">
        <v>2012</v>
      </c>
      <c r="K179" s="797">
        <v>3050</v>
      </c>
      <c r="L179" s="797" t="s">
        <v>1868</v>
      </c>
      <c r="M179" s="797" t="s">
        <v>1871</v>
      </c>
      <c r="N179" s="798" t="s">
        <v>1886</v>
      </c>
      <c r="O179" s="797" t="s">
        <v>840</v>
      </c>
      <c r="P179" s="797" t="s">
        <v>1804</v>
      </c>
      <c r="Q179" s="797"/>
    </row>
    <row r="180" spans="1:17" ht="24.5" thickBot="1">
      <c r="A180" s="796" t="s">
        <v>1865</v>
      </c>
      <c r="B180" s="797" t="s">
        <v>1866</v>
      </c>
      <c r="C180" s="797">
        <v>218</v>
      </c>
      <c r="D180" s="797" t="s">
        <v>325</v>
      </c>
      <c r="E180" s="797">
        <v>7230</v>
      </c>
      <c r="F180" s="797" t="s">
        <v>232</v>
      </c>
      <c r="G180" s="797">
        <v>6791</v>
      </c>
      <c r="H180" s="797" t="s">
        <v>1867</v>
      </c>
      <c r="I180" s="797">
        <v>2012</v>
      </c>
      <c r="J180" s="797">
        <v>2012</v>
      </c>
      <c r="K180" s="797">
        <v>3050</v>
      </c>
      <c r="L180" s="797" t="s">
        <v>1868</v>
      </c>
      <c r="M180" s="797" t="s">
        <v>1871</v>
      </c>
      <c r="N180" s="798" t="s">
        <v>1887</v>
      </c>
      <c r="O180" s="797" t="s">
        <v>840</v>
      </c>
      <c r="P180" s="797" t="s">
        <v>1804</v>
      </c>
      <c r="Q180" s="797"/>
    </row>
    <row r="181" spans="1:17" ht="24.5" thickBot="1">
      <c r="A181" s="796" t="s">
        <v>1865</v>
      </c>
      <c r="B181" s="797" t="s">
        <v>1866</v>
      </c>
      <c r="C181" s="797">
        <v>218</v>
      </c>
      <c r="D181" s="797" t="s">
        <v>325</v>
      </c>
      <c r="E181" s="797">
        <v>7246</v>
      </c>
      <c r="F181" s="797" t="s">
        <v>1047</v>
      </c>
      <c r="G181" s="797">
        <v>6791</v>
      </c>
      <c r="H181" s="797" t="s">
        <v>1867</v>
      </c>
      <c r="I181" s="797">
        <v>2013</v>
      </c>
      <c r="J181" s="797">
        <v>2013</v>
      </c>
      <c r="K181" s="797">
        <v>3050</v>
      </c>
      <c r="L181" s="797" t="s">
        <v>1868</v>
      </c>
      <c r="M181" s="797" t="s">
        <v>1869</v>
      </c>
      <c r="N181" s="798">
        <v>0</v>
      </c>
      <c r="O181" s="797" t="s">
        <v>840</v>
      </c>
      <c r="P181" s="797" t="s">
        <v>1804</v>
      </c>
      <c r="Q181" s="797"/>
    </row>
    <row r="182" spans="1:17" ht="24.5" thickBot="1">
      <c r="A182" s="796" t="s">
        <v>1865</v>
      </c>
      <c r="B182" s="797" t="s">
        <v>1866</v>
      </c>
      <c r="C182" s="797">
        <v>218</v>
      </c>
      <c r="D182" s="797" t="s">
        <v>325</v>
      </c>
      <c r="E182" s="797">
        <v>7225</v>
      </c>
      <c r="F182" s="797" t="s">
        <v>1870</v>
      </c>
      <c r="G182" s="797">
        <v>6791</v>
      </c>
      <c r="H182" s="797" t="s">
        <v>1867</v>
      </c>
      <c r="I182" s="797">
        <v>2013</v>
      </c>
      <c r="J182" s="797">
        <v>2013</v>
      </c>
      <c r="K182" s="797">
        <v>3050</v>
      </c>
      <c r="L182" s="797" t="s">
        <v>1868</v>
      </c>
      <c r="M182" s="797" t="s">
        <v>1871</v>
      </c>
      <c r="N182" s="798">
        <v>0</v>
      </c>
      <c r="O182" s="797" t="s">
        <v>840</v>
      </c>
      <c r="P182" s="797" t="s">
        <v>1804</v>
      </c>
      <c r="Q182" s="797"/>
    </row>
    <row r="183" spans="1:17" ht="24.5" thickBot="1">
      <c r="A183" s="796" t="s">
        <v>1865</v>
      </c>
      <c r="B183" s="797" t="s">
        <v>1866</v>
      </c>
      <c r="C183" s="797">
        <v>218</v>
      </c>
      <c r="D183" s="797" t="s">
        <v>325</v>
      </c>
      <c r="E183" s="797">
        <v>7230</v>
      </c>
      <c r="F183" s="797" t="s">
        <v>232</v>
      </c>
      <c r="G183" s="797">
        <v>6791</v>
      </c>
      <c r="H183" s="797" t="s">
        <v>1867</v>
      </c>
      <c r="I183" s="797">
        <v>2013</v>
      </c>
      <c r="J183" s="797">
        <v>2013</v>
      </c>
      <c r="K183" s="797">
        <v>3050</v>
      </c>
      <c r="L183" s="797" t="s">
        <v>1868</v>
      </c>
      <c r="M183" s="797" t="s">
        <v>1871</v>
      </c>
      <c r="N183" s="798">
        <v>0</v>
      </c>
      <c r="O183" s="797" t="s">
        <v>840</v>
      </c>
      <c r="P183" s="797" t="s">
        <v>1804</v>
      </c>
      <c r="Q183" s="797"/>
    </row>
    <row r="184" spans="1:17" ht="24.5" thickBot="1">
      <c r="A184" s="796" t="s">
        <v>1865</v>
      </c>
      <c r="B184" s="797" t="s">
        <v>1866</v>
      </c>
      <c r="C184" s="797">
        <v>218</v>
      </c>
      <c r="D184" s="797" t="s">
        <v>325</v>
      </c>
      <c r="E184" s="797">
        <v>7246</v>
      </c>
      <c r="F184" s="797" t="s">
        <v>1047</v>
      </c>
      <c r="G184" s="797">
        <v>6791</v>
      </c>
      <c r="H184" s="797" t="s">
        <v>1867</v>
      </c>
      <c r="I184" s="797">
        <v>2014</v>
      </c>
      <c r="J184" s="797">
        <v>2014</v>
      </c>
      <c r="K184" s="797">
        <v>3050</v>
      </c>
      <c r="L184" s="797" t="s">
        <v>1868</v>
      </c>
      <c r="M184" s="797" t="s">
        <v>1869</v>
      </c>
      <c r="N184" s="798">
        <v>0</v>
      </c>
      <c r="O184" s="797" t="s">
        <v>840</v>
      </c>
      <c r="P184" s="797" t="s">
        <v>1804</v>
      </c>
      <c r="Q184" s="797"/>
    </row>
    <row r="185" spans="1:17" ht="24.5" thickBot="1">
      <c r="A185" s="796" t="s">
        <v>1865</v>
      </c>
      <c r="B185" s="797" t="s">
        <v>1866</v>
      </c>
      <c r="C185" s="797">
        <v>218</v>
      </c>
      <c r="D185" s="797" t="s">
        <v>325</v>
      </c>
      <c r="E185" s="797">
        <v>7225</v>
      </c>
      <c r="F185" s="797" t="s">
        <v>1870</v>
      </c>
      <c r="G185" s="797">
        <v>6791</v>
      </c>
      <c r="H185" s="797" t="s">
        <v>1867</v>
      </c>
      <c r="I185" s="797">
        <v>2014</v>
      </c>
      <c r="J185" s="797">
        <v>2014</v>
      </c>
      <c r="K185" s="797">
        <v>3050</v>
      </c>
      <c r="L185" s="797" t="s">
        <v>1868</v>
      </c>
      <c r="M185" s="797" t="s">
        <v>1871</v>
      </c>
      <c r="N185" s="798">
        <v>0</v>
      </c>
      <c r="O185" s="797" t="s">
        <v>840</v>
      </c>
      <c r="P185" s="797" t="s">
        <v>1804</v>
      </c>
      <c r="Q185" s="797"/>
    </row>
    <row r="186" spans="1:17" ht="24.5" thickBot="1">
      <c r="A186" s="796" t="s">
        <v>1865</v>
      </c>
      <c r="B186" s="797" t="s">
        <v>1866</v>
      </c>
      <c r="C186" s="797">
        <v>218</v>
      </c>
      <c r="D186" s="797" t="s">
        <v>325</v>
      </c>
      <c r="E186" s="797">
        <v>7230</v>
      </c>
      <c r="F186" s="797" t="s">
        <v>232</v>
      </c>
      <c r="G186" s="797">
        <v>6791</v>
      </c>
      <c r="H186" s="797" t="s">
        <v>1867</v>
      </c>
      <c r="I186" s="797">
        <v>2014</v>
      </c>
      <c r="J186" s="797">
        <v>2014</v>
      </c>
      <c r="K186" s="797">
        <v>3050</v>
      </c>
      <c r="L186" s="797" t="s">
        <v>1868</v>
      </c>
      <c r="M186" s="797" t="s">
        <v>1871</v>
      </c>
      <c r="N186" s="798">
        <v>0</v>
      </c>
      <c r="O186" s="797" t="s">
        <v>840</v>
      </c>
      <c r="P186" s="797" t="s">
        <v>1804</v>
      </c>
      <c r="Q186" s="797"/>
    </row>
    <row r="187" spans="1:17" ht="24.5" thickBot="1">
      <c r="A187" s="796" t="s">
        <v>1865</v>
      </c>
      <c r="B187" s="797" t="s">
        <v>1866</v>
      </c>
      <c r="C187" s="797">
        <v>218</v>
      </c>
      <c r="D187" s="797" t="s">
        <v>325</v>
      </c>
      <c r="E187" s="797">
        <v>7246</v>
      </c>
      <c r="F187" s="797" t="s">
        <v>1047</v>
      </c>
      <c r="G187" s="797">
        <v>6791</v>
      </c>
      <c r="H187" s="797" t="s">
        <v>1867</v>
      </c>
      <c r="I187" s="797">
        <v>2015</v>
      </c>
      <c r="J187" s="797">
        <v>2015</v>
      </c>
      <c r="K187" s="797">
        <v>3050</v>
      </c>
      <c r="L187" s="797" t="s">
        <v>1868</v>
      </c>
      <c r="M187" s="797" t="s">
        <v>1869</v>
      </c>
      <c r="N187" s="798">
        <v>0</v>
      </c>
      <c r="O187" s="797" t="s">
        <v>840</v>
      </c>
      <c r="P187" s="797" t="s">
        <v>1804</v>
      </c>
      <c r="Q187" s="797"/>
    </row>
    <row r="188" spans="1:17" ht="24.5" thickBot="1">
      <c r="A188" s="796" t="s">
        <v>1865</v>
      </c>
      <c r="B188" s="797" t="s">
        <v>1866</v>
      </c>
      <c r="C188" s="797">
        <v>218</v>
      </c>
      <c r="D188" s="797" t="s">
        <v>325</v>
      </c>
      <c r="E188" s="797">
        <v>7225</v>
      </c>
      <c r="F188" s="797" t="s">
        <v>1870</v>
      </c>
      <c r="G188" s="797">
        <v>6791</v>
      </c>
      <c r="H188" s="797" t="s">
        <v>1867</v>
      </c>
      <c r="I188" s="797">
        <v>2015</v>
      </c>
      <c r="J188" s="797">
        <v>2015</v>
      </c>
      <c r="K188" s="797">
        <v>3050</v>
      </c>
      <c r="L188" s="797" t="s">
        <v>1868</v>
      </c>
      <c r="M188" s="797" t="s">
        <v>1871</v>
      </c>
      <c r="N188" s="798">
        <v>0</v>
      </c>
      <c r="O188" s="797" t="s">
        <v>840</v>
      </c>
      <c r="P188" s="797" t="s">
        <v>1804</v>
      </c>
      <c r="Q188" s="797"/>
    </row>
    <row r="189" spans="1:17" ht="24.5" thickBot="1">
      <c r="A189" s="796" t="s">
        <v>1865</v>
      </c>
      <c r="B189" s="797" t="s">
        <v>1866</v>
      </c>
      <c r="C189" s="797">
        <v>218</v>
      </c>
      <c r="D189" s="797" t="s">
        <v>325</v>
      </c>
      <c r="E189" s="797">
        <v>7230</v>
      </c>
      <c r="F189" s="797" t="s">
        <v>232</v>
      </c>
      <c r="G189" s="797">
        <v>6791</v>
      </c>
      <c r="H189" s="797" t="s">
        <v>1867</v>
      </c>
      <c r="I189" s="797">
        <v>2015</v>
      </c>
      <c r="J189" s="797">
        <v>2015</v>
      </c>
      <c r="K189" s="797">
        <v>3050</v>
      </c>
      <c r="L189" s="797" t="s">
        <v>1868</v>
      </c>
      <c r="M189" s="797" t="s">
        <v>1871</v>
      </c>
      <c r="N189" s="798">
        <v>0</v>
      </c>
      <c r="O189" s="797" t="s">
        <v>840</v>
      </c>
      <c r="P189" s="797" t="s">
        <v>1804</v>
      </c>
      <c r="Q189" s="797"/>
    </row>
    <row r="190" spans="1:17" ht="24.5" thickBot="1">
      <c r="A190" s="796" t="s">
        <v>1865</v>
      </c>
      <c r="B190" s="797" t="s">
        <v>1866</v>
      </c>
      <c r="C190" s="797">
        <v>218</v>
      </c>
      <c r="D190" s="797" t="s">
        <v>325</v>
      </c>
      <c r="E190" s="797">
        <v>7246</v>
      </c>
      <c r="F190" s="797" t="s">
        <v>1047</v>
      </c>
      <c r="G190" s="797">
        <v>6791</v>
      </c>
      <c r="H190" s="797" t="s">
        <v>1867</v>
      </c>
      <c r="I190" s="797">
        <v>2016</v>
      </c>
      <c r="J190" s="797">
        <v>2016</v>
      </c>
      <c r="K190" s="797">
        <v>3050</v>
      </c>
      <c r="L190" s="797" t="s">
        <v>1868</v>
      </c>
      <c r="M190" s="797" t="s">
        <v>1869</v>
      </c>
      <c r="N190" s="798">
        <v>0</v>
      </c>
      <c r="O190" s="797" t="s">
        <v>840</v>
      </c>
      <c r="P190" s="797" t="s">
        <v>1804</v>
      </c>
      <c r="Q190" s="797"/>
    </row>
    <row r="191" spans="1:17" ht="24.5" thickBot="1">
      <c r="A191" s="796" t="s">
        <v>1865</v>
      </c>
      <c r="B191" s="797" t="s">
        <v>1866</v>
      </c>
      <c r="C191" s="797">
        <v>218</v>
      </c>
      <c r="D191" s="797" t="s">
        <v>325</v>
      </c>
      <c r="E191" s="797">
        <v>7225</v>
      </c>
      <c r="F191" s="797" t="s">
        <v>1870</v>
      </c>
      <c r="G191" s="797">
        <v>6791</v>
      </c>
      <c r="H191" s="797" t="s">
        <v>1867</v>
      </c>
      <c r="I191" s="797">
        <v>2016</v>
      </c>
      <c r="J191" s="797">
        <v>2016</v>
      </c>
      <c r="K191" s="797">
        <v>3050</v>
      </c>
      <c r="L191" s="797" t="s">
        <v>1868</v>
      </c>
      <c r="M191" s="797" t="s">
        <v>1871</v>
      </c>
      <c r="N191" s="798">
        <v>0</v>
      </c>
      <c r="O191" s="797" t="s">
        <v>840</v>
      </c>
      <c r="P191" s="797" t="s">
        <v>1804</v>
      </c>
      <c r="Q191" s="797"/>
    </row>
    <row r="192" spans="1:17" ht="24.5" thickBot="1">
      <c r="A192" s="796" t="s">
        <v>1865</v>
      </c>
      <c r="B192" s="797" t="s">
        <v>1866</v>
      </c>
      <c r="C192" s="797">
        <v>218</v>
      </c>
      <c r="D192" s="797" t="s">
        <v>325</v>
      </c>
      <c r="E192" s="797">
        <v>7230</v>
      </c>
      <c r="F192" s="797" t="s">
        <v>232</v>
      </c>
      <c r="G192" s="797">
        <v>6791</v>
      </c>
      <c r="H192" s="797" t="s">
        <v>1867</v>
      </c>
      <c r="I192" s="797">
        <v>2016</v>
      </c>
      <c r="J192" s="797">
        <v>2016</v>
      </c>
      <c r="K192" s="797">
        <v>3050</v>
      </c>
      <c r="L192" s="797" t="s">
        <v>1868</v>
      </c>
      <c r="M192" s="797" t="s">
        <v>1871</v>
      </c>
      <c r="N192" s="798">
        <v>0</v>
      </c>
      <c r="O192" s="797" t="s">
        <v>840</v>
      </c>
      <c r="P192" s="797" t="s">
        <v>1804</v>
      </c>
      <c r="Q192" s="797"/>
    </row>
    <row r="193" spans="1:17" ht="24.5" thickBot="1">
      <c r="A193" s="796" t="s">
        <v>1865</v>
      </c>
      <c r="B193" s="797" t="s">
        <v>1866</v>
      </c>
      <c r="C193" s="797">
        <v>218</v>
      </c>
      <c r="D193" s="797" t="s">
        <v>325</v>
      </c>
      <c r="E193" s="797">
        <v>7246</v>
      </c>
      <c r="F193" s="797" t="s">
        <v>1047</v>
      </c>
      <c r="G193" s="797">
        <v>6791</v>
      </c>
      <c r="H193" s="797" t="s">
        <v>1867</v>
      </c>
      <c r="I193" s="797">
        <v>2017</v>
      </c>
      <c r="J193" s="797">
        <v>2017</v>
      </c>
      <c r="K193" s="797">
        <v>3050</v>
      </c>
      <c r="L193" s="797" t="s">
        <v>1868</v>
      </c>
      <c r="M193" s="797" t="s">
        <v>1869</v>
      </c>
      <c r="N193" s="1794">
        <v>427399</v>
      </c>
      <c r="O193" s="797" t="s">
        <v>840</v>
      </c>
      <c r="P193" s="797" t="s">
        <v>1804</v>
      </c>
      <c r="Q193" s="797"/>
    </row>
    <row r="194" spans="1:17" ht="24.5" thickBot="1">
      <c r="A194" s="796" t="s">
        <v>1865</v>
      </c>
      <c r="B194" s="797" t="s">
        <v>1866</v>
      </c>
      <c r="C194" s="797">
        <v>218</v>
      </c>
      <c r="D194" s="797" t="s">
        <v>325</v>
      </c>
      <c r="E194" s="797">
        <v>7225</v>
      </c>
      <c r="F194" s="797" t="s">
        <v>1870</v>
      </c>
      <c r="G194" s="797">
        <v>6791</v>
      </c>
      <c r="H194" s="797" t="s">
        <v>1867</v>
      </c>
      <c r="I194" s="797">
        <v>2017</v>
      </c>
      <c r="J194" s="797">
        <v>2017</v>
      </c>
      <c r="K194" s="797">
        <v>3050</v>
      </c>
      <c r="L194" s="797" t="s">
        <v>1868</v>
      </c>
      <c r="M194" s="797" t="s">
        <v>1871</v>
      </c>
      <c r="N194" s="798" t="s">
        <v>1890</v>
      </c>
      <c r="O194" s="797" t="s">
        <v>840</v>
      </c>
      <c r="P194" s="797" t="s">
        <v>1804</v>
      </c>
      <c r="Q194" s="797"/>
    </row>
    <row r="195" spans="1:17" ht="24.5" thickBot="1">
      <c r="A195" s="796" t="s">
        <v>1865</v>
      </c>
      <c r="B195" s="797" t="s">
        <v>1866</v>
      </c>
      <c r="C195" s="797">
        <v>218</v>
      </c>
      <c r="D195" s="797" t="s">
        <v>325</v>
      </c>
      <c r="E195" s="797">
        <v>7230</v>
      </c>
      <c r="F195" s="797" t="s">
        <v>232</v>
      </c>
      <c r="G195" s="797">
        <v>6791</v>
      </c>
      <c r="H195" s="797" t="s">
        <v>1867</v>
      </c>
      <c r="I195" s="797">
        <v>2017</v>
      </c>
      <c r="J195" s="797">
        <v>2017</v>
      </c>
      <c r="K195" s="797">
        <v>3050</v>
      </c>
      <c r="L195" s="797" t="s">
        <v>1868</v>
      </c>
      <c r="M195" s="797" t="s">
        <v>1871</v>
      </c>
      <c r="N195" s="798" t="s">
        <v>1883</v>
      </c>
      <c r="O195" s="797" t="s">
        <v>840</v>
      </c>
      <c r="P195" s="797" t="s">
        <v>1804</v>
      </c>
      <c r="Q195" s="797"/>
    </row>
    <row r="196" spans="1:17" ht="24.5" thickBot="1">
      <c r="A196" s="796" t="s">
        <v>1865</v>
      </c>
      <c r="B196" s="797" t="s">
        <v>1866</v>
      </c>
      <c r="C196" s="797">
        <v>218</v>
      </c>
      <c r="D196" s="797" t="s">
        <v>325</v>
      </c>
      <c r="E196" s="797">
        <v>7246</v>
      </c>
      <c r="F196" s="797" t="s">
        <v>1047</v>
      </c>
      <c r="G196" s="797">
        <v>6791</v>
      </c>
      <c r="H196" s="797" t="s">
        <v>1867</v>
      </c>
      <c r="I196" s="797">
        <v>2018</v>
      </c>
      <c r="J196" s="797">
        <v>2018</v>
      </c>
      <c r="K196" s="797">
        <v>3050</v>
      </c>
      <c r="L196" s="797" t="s">
        <v>1868</v>
      </c>
      <c r="M196" s="797" t="s">
        <v>1869</v>
      </c>
      <c r="N196" s="798">
        <v>0</v>
      </c>
      <c r="O196" s="797" t="s">
        <v>840</v>
      </c>
      <c r="P196" s="797" t="s">
        <v>1804</v>
      </c>
      <c r="Q196" s="797"/>
    </row>
    <row r="197" spans="1:17" ht="24.5" thickBot="1">
      <c r="A197" s="796" t="s">
        <v>1865</v>
      </c>
      <c r="B197" s="797" t="s">
        <v>1866</v>
      </c>
      <c r="C197" s="797">
        <v>218</v>
      </c>
      <c r="D197" s="797" t="s">
        <v>325</v>
      </c>
      <c r="E197" s="797">
        <v>7225</v>
      </c>
      <c r="F197" s="797" t="s">
        <v>1870</v>
      </c>
      <c r="G197" s="797">
        <v>6791</v>
      </c>
      <c r="H197" s="797" t="s">
        <v>1867</v>
      </c>
      <c r="I197" s="797">
        <v>2018</v>
      </c>
      <c r="J197" s="797">
        <v>2018</v>
      </c>
      <c r="K197" s="797">
        <v>3050</v>
      </c>
      <c r="L197" s="797" t="s">
        <v>1868</v>
      </c>
      <c r="M197" s="797" t="s">
        <v>1871</v>
      </c>
      <c r="N197" s="798">
        <v>0</v>
      </c>
      <c r="O197" s="797" t="s">
        <v>840</v>
      </c>
      <c r="P197" s="797" t="s">
        <v>1804</v>
      </c>
      <c r="Q197" s="797"/>
    </row>
    <row r="198" spans="1:17" ht="24.5" thickBot="1">
      <c r="A198" s="796" t="s">
        <v>1865</v>
      </c>
      <c r="B198" s="797" t="s">
        <v>1866</v>
      </c>
      <c r="C198" s="797">
        <v>218</v>
      </c>
      <c r="D198" s="797" t="s">
        <v>325</v>
      </c>
      <c r="E198" s="797">
        <v>7230</v>
      </c>
      <c r="F198" s="797" t="s">
        <v>232</v>
      </c>
      <c r="G198" s="797">
        <v>6791</v>
      </c>
      <c r="H198" s="797" t="s">
        <v>1867</v>
      </c>
      <c r="I198" s="797">
        <v>2018</v>
      </c>
      <c r="J198" s="797">
        <v>2018</v>
      </c>
      <c r="K198" s="797">
        <v>3050</v>
      </c>
      <c r="L198" s="797" t="s">
        <v>1868</v>
      </c>
      <c r="M198" s="797" t="s">
        <v>1871</v>
      </c>
      <c r="N198" s="798">
        <v>0</v>
      </c>
      <c r="O198" s="797" t="s">
        <v>840</v>
      </c>
      <c r="P198" s="797" t="s">
        <v>1804</v>
      </c>
      <c r="Q198" s="797"/>
    </row>
    <row r="199" spans="1:17" ht="24.5" thickBot="1">
      <c r="A199" s="796" t="s">
        <v>1865</v>
      </c>
      <c r="B199" s="797" t="s">
        <v>1866</v>
      </c>
      <c r="C199" s="797">
        <v>218</v>
      </c>
      <c r="D199" s="797" t="s">
        <v>325</v>
      </c>
      <c r="E199" s="797">
        <v>7246</v>
      </c>
      <c r="F199" s="797" t="s">
        <v>1047</v>
      </c>
      <c r="G199" s="797">
        <v>6791</v>
      </c>
      <c r="H199" s="797" t="s">
        <v>1867</v>
      </c>
      <c r="I199" s="797">
        <v>2019</v>
      </c>
      <c r="J199" s="797">
        <v>2019</v>
      </c>
      <c r="K199" s="797">
        <v>3050</v>
      </c>
      <c r="L199" s="797" t="s">
        <v>1868</v>
      </c>
      <c r="M199" s="797" t="s">
        <v>1869</v>
      </c>
      <c r="N199" s="798">
        <v>0</v>
      </c>
      <c r="O199" s="797" t="s">
        <v>840</v>
      </c>
      <c r="P199" s="797" t="s">
        <v>1804</v>
      </c>
      <c r="Q199" s="797"/>
    </row>
    <row r="200" spans="1:17" ht="24.5" thickBot="1">
      <c r="A200" s="796" t="s">
        <v>1865</v>
      </c>
      <c r="B200" s="797" t="s">
        <v>1866</v>
      </c>
      <c r="C200" s="797">
        <v>218</v>
      </c>
      <c r="D200" s="797" t="s">
        <v>325</v>
      </c>
      <c r="E200" s="797">
        <v>7225</v>
      </c>
      <c r="F200" s="797" t="s">
        <v>1870</v>
      </c>
      <c r="G200" s="797">
        <v>6791</v>
      </c>
      <c r="H200" s="797" t="s">
        <v>1867</v>
      </c>
      <c r="I200" s="797">
        <v>2019</v>
      </c>
      <c r="J200" s="797">
        <v>2019</v>
      </c>
      <c r="K200" s="797">
        <v>3050</v>
      </c>
      <c r="L200" s="797" t="s">
        <v>1868</v>
      </c>
      <c r="M200" s="797" t="s">
        <v>1871</v>
      </c>
      <c r="N200" s="798">
        <v>0</v>
      </c>
      <c r="O200" s="797" t="s">
        <v>840</v>
      </c>
      <c r="P200" s="797" t="s">
        <v>1804</v>
      </c>
      <c r="Q200" s="797"/>
    </row>
    <row r="201" spans="1:17" ht="24.5" thickBot="1">
      <c r="A201" s="796" t="s">
        <v>1865</v>
      </c>
      <c r="B201" s="797" t="s">
        <v>1866</v>
      </c>
      <c r="C201" s="797">
        <v>218</v>
      </c>
      <c r="D201" s="797" t="s">
        <v>325</v>
      </c>
      <c r="E201" s="797">
        <v>7230</v>
      </c>
      <c r="F201" s="797" t="s">
        <v>232</v>
      </c>
      <c r="G201" s="797">
        <v>6791</v>
      </c>
      <c r="H201" s="797" t="s">
        <v>1867</v>
      </c>
      <c r="I201" s="797">
        <v>2019</v>
      </c>
      <c r="J201" s="797">
        <v>2019</v>
      </c>
      <c r="K201" s="797">
        <v>3050</v>
      </c>
      <c r="L201" s="797" t="s">
        <v>1868</v>
      </c>
      <c r="M201" s="797" t="s">
        <v>1871</v>
      </c>
      <c r="N201" s="798">
        <v>0</v>
      </c>
      <c r="O201" s="797" t="s">
        <v>840</v>
      </c>
      <c r="P201" s="797" t="s">
        <v>1804</v>
      </c>
      <c r="Q201" s="797"/>
    </row>
    <row r="202" spans="1:17" ht="24.5" thickBot="1">
      <c r="A202" s="796" t="s">
        <v>1865</v>
      </c>
      <c r="B202" s="797" t="s">
        <v>1866</v>
      </c>
      <c r="C202" s="797">
        <v>218</v>
      </c>
      <c r="D202" s="797" t="s">
        <v>325</v>
      </c>
      <c r="E202" s="797">
        <v>7246</v>
      </c>
      <c r="F202" s="797" t="s">
        <v>1047</v>
      </c>
      <c r="G202" s="797">
        <v>6791</v>
      </c>
      <c r="H202" s="797" t="s">
        <v>1867</v>
      </c>
      <c r="I202" s="797">
        <v>2020</v>
      </c>
      <c r="J202" s="797">
        <v>2020</v>
      </c>
      <c r="K202" s="797">
        <v>3050</v>
      </c>
      <c r="L202" s="797" t="s">
        <v>1868</v>
      </c>
      <c r="M202" s="797" t="s">
        <v>1869</v>
      </c>
      <c r="N202" s="798">
        <v>0</v>
      </c>
      <c r="O202" s="797" t="s">
        <v>840</v>
      </c>
      <c r="P202" s="797" t="s">
        <v>1804</v>
      </c>
      <c r="Q202" s="797"/>
    </row>
    <row r="203" spans="1:17" ht="24.5" thickBot="1">
      <c r="A203" s="796" t="s">
        <v>1865</v>
      </c>
      <c r="B203" s="797" t="s">
        <v>1866</v>
      </c>
      <c r="C203" s="797">
        <v>218</v>
      </c>
      <c r="D203" s="797" t="s">
        <v>325</v>
      </c>
      <c r="E203" s="797">
        <v>7225</v>
      </c>
      <c r="F203" s="797" t="s">
        <v>1870</v>
      </c>
      <c r="G203" s="797">
        <v>6791</v>
      </c>
      <c r="H203" s="797" t="s">
        <v>1867</v>
      </c>
      <c r="I203" s="797">
        <v>2020</v>
      </c>
      <c r="J203" s="797">
        <v>2020</v>
      </c>
      <c r="K203" s="797">
        <v>3050</v>
      </c>
      <c r="L203" s="797" t="s">
        <v>1868</v>
      </c>
      <c r="M203" s="797" t="s">
        <v>1871</v>
      </c>
      <c r="N203" s="798">
        <v>0</v>
      </c>
      <c r="O203" s="797" t="s">
        <v>840</v>
      </c>
      <c r="P203" s="797" t="s">
        <v>1804</v>
      </c>
      <c r="Q203" s="797"/>
    </row>
    <row r="204" spans="1:17" ht="24.5" thickBot="1">
      <c r="A204" s="796" t="s">
        <v>1865</v>
      </c>
      <c r="B204" s="797" t="s">
        <v>1866</v>
      </c>
      <c r="C204" s="797">
        <v>218</v>
      </c>
      <c r="D204" s="797" t="s">
        <v>325</v>
      </c>
      <c r="E204" s="797">
        <v>7230</v>
      </c>
      <c r="F204" s="797" t="s">
        <v>232</v>
      </c>
      <c r="G204" s="797">
        <v>6791</v>
      </c>
      <c r="H204" s="797" t="s">
        <v>1867</v>
      </c>
      <c r="I204" s="797">
        <v>2020</v>
      </c>
      <c r="J204" s="797">
        <v>2020</v>
      </c>
      <c r="K204" s="797">
        <v>3050</v>
      </c>
      <c r="L204" s="797" t="s">
        <v>1868</v>
      </c>
      <c r="M204" s="797" t="s">
        <v>1871</v>
      </c>
      <c r="N204" s="798">
        <v>0</v>
      </c>
      <c r="O204" s="797" t="s">
        <v>840</v>
      </c>
      <c r="P204" s="797" t="s">
        <v>1804</v>
      </c>
      <c r="Q204" s="797"/>
    </row>
    <row r="205" spans="1:17" ht="24.5" thickBot="1">
      <c r="A205" s="796" t="s">
        <v>1865</v>
      </c>
      <c r="B205" s="797" t="s">
        <v>1866</v>
      </c>
      <c r="C205" s="797">
        <v>218</v>
      </c>
      <c r="D205" s="797" t="s">
        <v>325</v>
      </c>
      <c r="E205" s="797">
        <v>7246</v>
      </c>
      <c r="F205" s="797" t="s">
        <v>1047</v>
      </c>
      <c r="G205" s="797">
        <v>6791</v>
      </c>
      <c r="H205" s="797" t="s">
        <v>1867</v>
      </c>
      <c r="I205" s="797">
        <v>2021</v>
      </c>
      <c r="J205" s="797">
        <v>2021</v>
      </c>
      <c r="K205" s="797">
        <v>3050</v>
      </c>
      <c r="L205" s="797" t="s">
        <v>1868</v>
      </c>
      <c r="M205" s="797" t="s">
        <v>1869</v>
      </c>
      <c r="N205" s="798">
        <v>0</v>
      </c>
      <c r="O205" s="797" t="s">
        <v>840</v>
      </c>
      <c r="P205" s="797" t="s">
        <v>1804</v>
      </c>
      <c r="Q205" s="797"/>
    </row>
    <row r="206" spans="1:17" ht="24.5" thickBot="1">
      <c r="A206" s="796" t="s">
        <v>1865</v>
      </c>
      <c r="B206" s="797" t="s">
        <v>1866</v>
      </c>
      <c r="C206" s="797">
        <v>218</v>
      </c>
      <c r="D206" s="797" t="s">
        <v>325</v>
      </c>
      <c r="E206" s="797">
        <v>7225</v>
      </c>
      <c r="F206" s="797" t="s">
        <v>1870</v>
      </c>
      <c r="G206" s="797">
        <v>6791</v>
      </c>
      <c r="H206" s="797" t="s">
        <v>1867</v>
      </c>
      <c r="I206" s="797">
        <v>2021</v>
      </c>
      <c r="J206" s="797">
        <v>2021</v>
      </c>
      <c r="K206" s="797">
        <v>3050</v>
      </c>
      <c r="L206" s="797" t="s">
        <v>1868</v>
      </c>
      <c r="M206" s="797" t="s">
        <v>1871</v>
      </c>
      <c r="N206" s="798">
        <v>0</v>
      </c>
      <c r="O206" s="797" t="s">
        <v>840</v>
      </c>
      <c r="P206" s="797" t="s">
        <v>1804</v>
      </c>
      <c r="Q206" s="797"/>
    </row>
    <row r="207" spans="1:17" ht="24.5" thickBot="1">
      <c r="A207" s="796" t="s">
        <v>1865</v>
      </c>
      <c r="B207" s="797" t="s">
        <v>1866</v>
      </c>
      <c r="C207" s="797">
        <v>218</v>
      </c>
      <c r="D207" s="797" t="s">
        <v>325</v>
      </c>
      <c r="E207" s="797">
        <v>7230</v>
      </c>
      <c r="F207" s="797" t="s">
        <v>232</v>
      </c>
      <c r="G207" s="797">
        <v>6791</v>
      </c>
      <c r="H207" s="797" t="s">
        <v>1867</v>
      </c>
      <c r="I207" s="797">
        <v>2021</v>
      </c>
      <c r="J207" s="797">
        <v>2021</v>
      </c>
      <c r="K207" s="797">
        <v>3050</v>
      </c>
      <c r="L207" s="797" t="s">
        <v>1868</v>
      </c>
      <c r="M207" s="797" t="s">
        <v>1871</v>
      </c>
      <c r="N207" s="798">
        <v>0</v>
      </c>
      <c r="O207" s="797" t="s">
        <v>840</v>
      </c>
      <c r="P207" s="797" t="s">
        <v>1804</v>
      </c>
      <c r="Q207" s="797"/>
    </row>
    <row r="208" spans="1:17" ht="24.5" thickBot="1">
      <c r="A208" s="796" t="s">
        <v>1865</v>
      </c>
      <c r="B208" s="797" t="s">
        <v>1866</v>
      </c>
      <c r="C208" s="797">
        <v>218</v>
      </c>
      <c r="D208" s="797" t="s">
        <v>325</v>
      </c>
      <c r="E208" s="797">
        <v>7246</v>
      </c>
      <c r="F208" s="797" t="s">
        <v>1047</v>
      </c>
      <c r="G208" s="797">
        <v>6791</v>
      </c>
      <c r="H208" s="797" t="s">
        <v>1867</v>
      </c>
      <c r="I208" s="797">
        <v>2022</v>
      </c>
      <c r="J208" s="797">
        <v>2022</v>
      </c>
      <c r="K208" s="797">
        <v>3050</v>
      </c>
      <c r="L208" s="797" t="s">
        <v>1868</v>
      </c>
      <c r="M208" s="797" t="s">
        <v>1869</v>
      </c>
      <c r="N208" s="798">
        <v>0</v>
      </c>
      <c r="O208" s="797" t="s">
        <v>840</v>
      </c>
      <c r="P208" s="797" t="s">
        <v>1804</v>
      </c>
      <c r="Q208" s="797"/>
    </row>
    <row r="209" spans="1:17" ht="24.5" thickBot="1">
      <c r="A209" s="796" t="s">
        <v>1865</v>
      </c>
      <c r="B209" s="797" t="s">
        <v>1866</v>
      </c>
      <c r="C209" s="797">
        <v>218</v>
      </c>
      <c r="D209" s="797" t="s">
        <v>325</v>
      </c>
      <c r="E209" s="797">
        <v>7225</v>
      </c>
      <c r="F209" s="797" t="s">
        <v>1870</v>
      </c>
      <c r="G209" s="797">
        <v>6791</v>
      </c>
      <c r="H209" s="797" t="s">
        <v>1867</v>
      </c>
      <c r="I209" s="797">
        <v>2022</v>
      </c>
      <c r="J209" s="797">
        <v>2022</v>
      </c>
      <c r="K209" s="797">
        <v>3050</v>
      </c>
      <c r="L209" s="797" t="s">
        <v>1868</v>
      </c>
      <c r="M209" s="797" t="s">
        <v>1871</v>
      </c>
      <c r="N209" s="798">
        <v>0</v>
      </c>
      <c r="O209" s="797" t="s">
        <v>840</v>
      </c>
      <c r="P209" s="797" t="s">
        <v>1804</v>
      </c>
      <c r="Q209" s="797"/>
    </row>
    <row r="210" spans="1:17" ht="24.5" thickBot="1">
      <c r="A210" s="796" t="s">
        <v>1865</v>
      </c>
      <c r="B210" s="797" t="s">
        <v>1866</v>
      </c>
      <c r="C210" s="797">
        <v>218</v>
      </c>
      <c r="D210" s="797" t="s">
        <v>325</v>
      </c>
      <c r="E210" s="797">
        <v>7230</v>
      </c>
      <c r="F210" s="797" t="s">
        <v>232</v>
      </c>
      <c r="G210" s="797">
        <v>6791</v>
      </c>
      <c r="H210" s="797" t="s">
        <v>1867</v>
      </c>
      <c r="I210" s="797">
        <v>2022</v>
      </c>
      <c r="J210" s="797">
        <v>2022</v>
      </c>
      <c r="K210" s="797">
        <v>3050</v>
      </c>
      <c r="L210" s="797" t="s">
        <v>1868</v>
      </c>
      <c r="M210" s="797" t="s">
        <v>1871</v>
      </c>
      <c r="N210" s="798">
        <v>0</v>
      </c>
      <c r="O210" s="797" t="s">
        <v>840</v>
      </c>
      <c r="P210" s="797" t="s">
        <v>1804</v>
      </c>
      <c r="Q210" s="797"/>
    </row>
    <row r="211" spans="1:17" ht="24.5" thickBot="1">
      <c r="A211" s="1795" t="s">
        <v>1865</v>
      </c>
      <c r="B211" s="1796" t="s">
        <v>1866</v>
      </c>
      <c r="C211" s="1796">
        <v>218</v>
      </c>
      <c r="D211" s="1796" t="s">
        <v>325</v>
      </c>
      <c r="E211" s="1796">
        <v>7246</v>
      </c>
      <c r="F211" s="1796" t="s">
        <v>1047</v>
      </c>
      <c r="G211" s="1796">
        <v>6794</v>
      </c>
      <c r="H211" s="1796" t="s">
        <v>1801</v>
      </c>
      <c r="I211" s="1796">
        <v>1990</v>
      </c>
      <c r="J211" s="1796">
        <v>1990</v>
      </c>
      <c r="K211" s="1796">
        <v>3050</v>
      </c>
      <c r="L211" s="1796" t="s">
        <v>1868</v>
      </c>
      <c r="M211" s="1796" t="s">
        <v>1869</v>
      </c>
      <c r="N211" s="1797">
        <v>28304387</v>
      </c>
      <c r="O211" s="1796" t="s">
        <v>840</v>
      </c>
      <c r="P211" s="1796" t="s">
        <v>1804</v>
      </c>
      <c r="Q211" s="1796"/>
    </row>
    <row r="212" spans="1:17" ht="27">
      <c r="A212" s="1798" t="s">
        <v>1891</v>
      </c>
    </row>
    <row r="213" spans="1:17">
      <c r="A213" s="1799" t="s">
        <v>1892</v>
      </c>
    </row>
    <row r="214" spans="1:17">
      <c r="A214" s="1799">
        <v>1</v>
      </c>
    </row>
    <row r="215" spans="1:17">
      <c r="A215" s="1799">
        <v>2</v>
      </c>
    </row>
    <row r="216" spans="1:17">
      <c r="A216" s="1799">
        <v>3</v>
      </c>
    </row>
    <row r="217" spans="1:17">
      <c r="A217" s="1799">
        <v>4</v>
      </c>
    </row>
    <row r="218" spans="1:17">
      <c r="A218" s="1799">
        <v>5</v>
      </c>
    </row>
    <row r="219" spans="1:17">
      <c r="A219" s="1799" t="s">
        <v>1893</v>
      </c>
    </row>
    <row r="222" spans="1:17" ht="14.5" thickBot="1">
      <c r="A222" s="1800" t="s">
        <v>1176</v>
      </c>
      <c r="B222" s="1801" t="s">
        <v>1177</v>
      </c>
      <c r="C222" s="1801" t="s">
        <v>1178</v>
      </c>
      <c r="D222" s="1801" t="s">
        <v>1179</v>
      </c>
      <c r="E222" s="1801" t="s">
        <v>1180</v>
      </c>
      <c r="F222" s="1801" t="s">
        <v>1181</v>
      </c>
      <c r="G222" s="1801" t="s">
        <v>1182</v>
      </c>
      <c r="H222" s="1801" t="s">
        <v>1183</v>
      </c>
      <c r="I222" s="1801" t="s">
        <v>1184</v>
      </c>
      <c r="J222" s="1801" t="s">
        <v>1185</v>
      </c>
      <c r="K222" s="1801" t="s">
        <v>1864</v>
      </c>
      <c r="L222" s="1801" t="s">
        <v>3</v>
      </c>
      <c r="M222" s="1801" t="s">
        <v>515</v>
      </c>
      <c r="N222" s="1802" t="s">
        <v>1186</v>
      </c>
      <c r="O222" s="1801" t="s">
        <v>1187</v>
      </c>
      <c r="P222" s="1801" t="s">
        <v>1188</v>
      </c>
      <c r="Q222" s="1801" t="s">
        <v>1189</v>
      </c>
    </row>
    <row r="223" spans="1:17" ht="14.5" thickBot="1">
      <c r="A223" s="1800" t="s">
        <v>1176</v>
      </c>
      <c r="B223" s="1801" t="s">
        <v>1177</v>
      </c>
      <c r="C223" s="1801" t="s">
        <v>1178</v>
      </c>
      <c r="D223" s="1801" t="s">
        <v>1179</v>
      </c>
      <c r="E223" s="1801" t="s">
        <v>1180</v>
      </c>
      <c r="F223" s="1801" t="s">
        <v>1181</v>
      </c>
      <c r="G223" s="1801" t="s">
        <v>1182</v>
      </c>
      <c r="H223" s="1801" t="s">
        <v>1183</v>
      </c>
      <c r="I223" s="1801" t="s">
        <v>1184</v>
      </c>
      <c r="J223" s="1801" t="s">
        <v>1185</v>
      </c>
      <c r="K223" s="1801" t="s">
        <v>1864</v>
      </c>
      <c r="L223" s="1801" t="s">
        <v>3</v>
      </c>
      <c r="M223" s="1801" t="s">
        <v>515</v>
      </c>
      <c r="N223" s="1802" t="s">
        <v>1186</v>
      </c>
      <c r="O223" s="1801" t="s">
        <v>1187</v>
      </c>
      <c r="P223" s="1801" t="s">
        <v>1188</v>
      </c>
      <c r="Q223" s="1801" t="s">
        <v>1189</v>
      </c>
    </row>
    <row r="224" spans="1:17" ht="16.5" thickBot="1">
      <c r="A224" s="1803" t="s">
        <v>1894</v>
      </c>
      <c r="B224" s="1804" t="s">
        <v>1895</v>
      </c>
      <c r="C224" s="1804">
        <v>218</v>
      </c>
      <c r="D224" s="1804" t="s">
        <v>325</v>
      </c>
      <c r="E224" s="1804">
        <v>7225</v>
      </c>
      <c r="F224" s="1804" t="s">
        <v>1870</v>
      </c>
      <c r="G224" s="1804">
        <v>6795</v>
      </c>
      <c r="H224" s="1804" t="s">
        <v>1896</v>
      </c>
      <c r="I224" s="1804">
        <v>1990</v>
      </c>
      <c r="J224" s="1804">
        <v>1990</v>
      </c>
      <c r="K224" s="1804">
        <v>3050</v>
      </c>
      <c r="L224" s="1804" t="s">
        <v>1868</v>
      </c>
      <c r="M224" s="1804" t="s">
        <v>1871</v>
      </c>
      <c r="N224" s="1805" t="s">
        <v>1897</v>
      </c>
      <c r="O224" s="1804" t="s">
        <v>840</v>
      </c>
      <c r="P224" s="1804" t="s">
        <v>1804</v>
      </c>
      <c r="Q224" s="1804"/>
    </row>
    <row r="225" spans="1:17" ht="16.5" thickBot="1">
      <c r="A225" s="1806" t="s">
        <v>1894</v>
      </c>
      <c r="B225" s="1807" t="s">
        <v>1895</v>
      </c>
      <c r="C225" s="1807">
        <v>218</v>
      </c>
      <c r="D225" s="1807" t="s">
        <v>325</v>
      </c>
      <c r="E225" s="1807">
        <v>7230</v>
      </c>
      <c r="F225" s="1807" t="s">
        <v>232</v>
      </c>
      <c r="G225" s="1807">
        <v>6795</v>
      </c>
      <c r="H225" s="1807" t="s">
        <v>1896</v>
      </c>
      <c r="I225" s="1807">
        <v>1990</v>
      </c>
      <c r="J225" s="1807">
        <v>1990</v>
      </c>
      <c r="K225" s="1807">
        <v>3050</v>
      </c>
      <c r="L225" s="1807" t="s">
        <v>1868</v>
      </c>
      <c r="M225" s="1807" t="s">
        <v>1871</v>
      </c>
      <c r="N225" s="1808" t="s">
        <v>1898</v>
      </c>
      <c r="O225" s="1807" t="s">
        <v>840</v>
      </c>
      <c r="P225" s="1807" t="s">
        <v>1804</v>
      </c>
      <c r="Q225" s="1807"/>
    </row>
    <row r="226" spans="1:17" ht="24.5" thickBot="1">
      <c r="A226" s="1806" t="s">
        <v>1894</v>
      </c>
      <c r="B226" s="1807" t="s">
        <v>1895</v>
      </c>
      <c r="C226" s="1807">
        <v>218</v>
      </c>
      <c r="D226" s="1807" t="s">
        <v>325</v>
      </c>
      <c r="E226" s="1807">
        <v>724413</v>
      </c>
      <c r="F226" s="1807" t="s">
        <v>1899</v>
      </c>
      <c r="G226" s="1807">
        <v>6795</v>
      </c>
      <c r="H226" s="1807" t="s">
        <v>1896</v>
      </c>
      <c r="I226" s="1807">
        <v>1990</v>
      </c>
      <c r="J226" s="1807">
        <v>1990</v>
      </c>
      <c r="K226" s="1807">
        <v>3050</v>
      </c>
      <c r="L226" s="1807" t="s">
        <v>1868</v>
      </c>
      <c r="M226" s="1807" t="s">
        <v>1871</v>
      </c>
      <c r="N226" s="1809">
        <v>8904</v>
      </c>
      <c r="O226" s="1807" t="s">
        <v>840</v>
      </c>
      <c r="P226" s="1807" t="s">
        <v>1804</v>
      </c>
      <c r="Q226" s="1807"/>
    </row>
    <row r="227" spans="1:17" ht="24.5" thickBot="1">
      <c r="A227" s="1806" t="s">
        <v>1894</v>
      </c>
      <c r="B227" s="1807" t="s">
        <v>1895</v>
      </c>
      <c r="C227" s="1807">
        <v>218</v>
      </c>
      <c r="D227" s="1807" t="s">
        <v>325</v>
      </c>
      <c r="E227" s="1807">
        <v>724313</v>
      </c>
      <c r="F227" s="1807" t="s">
        <v>1900</v>
      </c>
      <c r="G227" s="1807">
        <v>6795</v>
      </c>
      <c r="H227" s="1807" t="s">
        <v>1896</v>
      </c>
      <c r="I227" s="1807">
        <v>1990</v>
      </c>
      <c r="J227" s="1807">
        <v>1990</v>
      </c>
      <c r="K227" s="1807">
        <v>3050</v>
      </c>
      <c r="L227" s="1807" t="s">
        <v>1868</v>
      </c>
      <c r="M227" s="1807" t="s">
        <v>1871</v>
      </c>
      <c r="N227" s="1809">
        <v>7685</v>
      </c>
      <c r="O227" s="1807" t="s">
        <v>840</v>
      </c>
      <c r="P227" s="1807" t="s">
        <v>1804</v>
      </c>
      <c r="Q227" s="1807"/>
    </row>
    <row r="228" spans="1:17" ht="16.5" thickBot="1">
      <c r="A228" s="1806" t="s">
        <v>1894</v>
      </c>
      <c r="B228" s="1807" t="s">
        <v>1895</v>
      </c>
      <c r="C228" s="1807">
        <v>218</v>
      </c>
      <c r="D228" s="1807" t="s">
        <v>325</v>
      </c>
      <c r="E228" s="1807">
        <v>723113</v>
      </c>
      <c r="F228" s="1807" t="s">
        <v>1901</v>
      </c>
      <c r="G228" s="1807">
        <v>6795</v>
      </c>
      <c r="H228" s="1807" t="s">
        <v>1896</v>
      </c>
      <c r="I228" s="1807">
        <v>1990</v>
      </c>
      <c r="J228" s="1807">
        <v>1990</v>
      </c>
      <c r="K228" s="1807">
        <v>3050</v>
      </c>
      <c r="L228" s="1807" t="s">
        <v>1868</v>
      </c>
      <c r="M228" s="1807" t="s">
        <v>1871</v>
      </c>
      <c r="N228" s="1809">
        <v>16589</v>
      </c>
      <c r="O228" s="1807" t="s">
        <v>840</v>
      </c>
      <c r="P228" s="1807" t="s">
        <v>1804</v>
      </c>
      <c r="Q228" s="1807"/>
    </row>
    <row r="229" spans="1:17" ht="16.5" thickBot="1">
      <c r="A229" s="1806" t="s">
        <v>1894</v>
      </c>
      <c r="B229" s="1807" t="s">
        <v>1895</v>
      </c>
      <c r="C229" s="1807">
        <v>218</v>
      </c>
      <c r="D229" s="1807" t="s">
        <v>325</v>
      </c>
      <c r="E229" s="1807">
        <v>7225</v>
      </c>
      <c r="F229" s="1807" t="s">
        <v>1870</v>
      </c>
      <c r="G229" s="1807">
        <v>6795</v>
      </c>
      <c r="H229" s="1807" t="s">
        <v>1896</v>
      </c>
      <c r="I229" s="1807">
        <v>1991</v>
      </c>
      <c r="J229" s="1807">
        <v>1991</v>
      </c>
      <c r="K229" s="1807">
        <v>3050</v>
      </c>
      <c r="L229" s="1807" t="s">
        <v>1868</v>
      </c>
      <c r="M229" s="1807" t="s">
        <v>1871</v>
      </c>
      <c r="N229" s="1808" t="s">
        <v>1897</v>
      </c>
      <c r="O229" s="1807" t="s">
        <v>840</v>
      </c>
      <c r="P229" s="1807" t="s">
        <v>1804</v>
      </c>
      <c r="Q229" s="1807"/>
    </row>
    <row r="230" spans="1:17" ht="16.5" thickBot="1">
      <c r="A230" s="1806" t="s">
        <v>1894</v>
      </c>
      <c r="B230" s="1807" t="s">
        <v>1895</v>
      </c>
      <c r="C230" s="1807">
        <v>218</v>
      </c>
      <c r="D230" s="1807" t="s">
        <v>325</v>
      </c>
      <c r="E230" s="1807">
        <v>7230</v>
      </c>
      <c r="F230" s="1807" t="s">
        <v>232</v>
      </c>
      <c r="G230" s="1807">
        <v>6795</v>
      </c>
      <c r="H230" s="1807" t="s">
        <v>1896</v>
      </c>
      <c r="I230" s="1807">
        <v>1991</v>
      </c>
      <c r="J230" s="1807">
        <v>1991</v>
      </c>
      <c r="K230" s="1807">
        <v>3050</v>
      </c>
      <c r="L230" s="1807" t="s">
        <v>1868</v>
      </c>
      <c r="M230" s="1807" t="s">
        <v>1871</v>
      </c>
      <c r="N230" s="1808" t="s">
        <v>1898</v>
      </c>
      <c r="O230" s="1807" t="s">
        <v>840</v>
      </c>
      <c r="P230" s="1807" t="s">
        <v>1804</v>
      </c>
      <c r="Q230" s="1807"/>
    </row>
    <row r="231" spans="1:17" ht="24.5" thickBot="1">
      <c r="A231" s="1806" t="s">
        <v>1894</v>
      </c>
      <c r="B231" s="1807" t="s">
        <v>1895</v>
      </c>
      <c r="C231" s="1807">
        <v>218</v>
      </c>
      <c r="D231" s="1807" t="s">
        <v>325</v>
      </c>
      <c r="E231" s="1807">
        <v>724413</v>
      </c>
      <c r="F231" s="1807" t="s">
        <v>1899</v>
      </c>
      <c r="G231" s="1807">
        <v>6795</v>
      </c>
      <c r="H231" s="1807" t="s">
        <v>1896</v>
      </c>
      <c r="I231" s="1807">
        <v>1991</v>
      </c>
      <c r="J231" s="1807">
        <v>1991</v>
      </c>
      <c r="K231" s="1807">
        <v>3050</v>
      </c>
      <c r="L231" s="1807" t="s">
        <v>1868</v>
      </c>
      <c r="M231" s="1807" t="s">
        <v>1871</v>
      </c>
      <c r="N231" s="1809">
        <v>8904</v>
      </c>
      <c r="O231" s="1807" t="s">
        <v>840</v>
      </c>
      <c r="P231" s="1807" t="s">
        <v>1804</v>
      </c>
      <c r="Q231" s="1807"/>
    </row>
    <row r="232" spans="1:17" ht="24.5" thickBot="1">
      <c r="A232" s="1806" t="s">
        <v>1894</v>
      </c>
      <c r="B232" s="1807" t="s">
        <v>1895</v>
      </c>
      <c r="C232" s="1807">
        <v>218</v>
      </c>
      <c r="D232" s="1807" t="s">
        <v>325</v>
      </c>
      <c r="E232" s="1807">
        <v>724313</v>
      </c>
      <c r="F232" s="1807" t="s">
        <v>1900</v>
      </c>
      <c r="G232" s="1807">
        <v>6795</v>
      </c>
      <c r="H232" s="1807" t="s">
        <v>1896</v>
      </c>
      <c r="I232" s="1807">
        <v>1991</v>
      </c>
      <c r="J232" s="1807">
        <v>1991</v>
      </c>
      <c r="K232" s="1807">
        <v>3050</v>
      </c>
      <c r="L232" s="1807" t="s">
        <v>1868</v>
      </c>
      <c r="M232" s="1807" t="s">
        <v>1871</v>
      </c>
      <c r="N232" s="1809">
        <v>7685</v>
      </c>
      <c r="O232" s="1807" t="s">
        <v>840</v>
      </c>
      <c r="P232" s="1807" t="s">
        <v>1804</v>
      </c>
      <c r="Q232" s="1807"/>
    </row>
    <row r="233" spans="1:17" ht="16.5" thickBot="1">
      <c r="A233" s="1806" t="s">
        <v>1894</v>
      </c>
      <c r="B233" s="1807" t="s">
        <v>1895</v>
      </c>
      <c r="C233" s="1807">
        <v>218</v>
      </c>
      <c r="D233" s="1807" t="s">
        <v>325</v>
      </c>
      <c r="E233" s="1807">
        <v>723113</v>
      </c>
      <c r="F233" s="1807" t="s">
        <v>1901</v>
      </c>
      <c r="G233" s="1807">
        <v>6795</v>
      </c>
      <c r="H233" s="1807" t="s">
        <v>1896</v>
      </c>
      <c r="I233" s="1807">
        <v>1991</v>
      </c>
      <c r="J233" s="1807">
        <v>1991</v>
      </c>
      <c r="K233" s="1807">
        <v>3050</v>
      </c>
      <c r="L233" s="1807" t="s">
        <v>1868</v>
      </c>
      <c r="M233" s="1807" t="s">
        <v>1871</v>
      </c>
      <c r="N233" s="1809">
        <v>16589</v>
      </c>
      <c r="O233" s="1807" t="s">
        <v>840</v>
      </c>
      <c r="P233" s="1807" t="s">
        <v>1804</v>
      </c>
      <c r="Q233" s="1807"/>
    </row>
    <row r="234" spans="1:17" ht="16.5" thickBot="1">
      <c r="A234" s="1806" t="s">
        <v>1894</v>
      </c>
      <c r="B234" s="1807" t="s">
        <v>1895</v>
      </c>
      <c r="C234" s="1807">
        <v>218</v>
      </c>
      <c r="D234" s="1807" t="s">
        <v>325</v>
      </c>
      <c r="E234" s="1807">
        <v>7225</v>
      </c>
      <c r="F234" s="1807" t="s">
        <v>1870</v>
      </c>
      <c r="G234" s="1807">
        <v>6795</v>
      </c>
      <c r="H234" s="1807" t="s">
        <v>1896</v>
      </c>
      <c r="I234" s="1807">
        <v>1992</v>
      </c>
      <c r="J234" s="1807">
        <v>1992</v>
      </c>
      <c r="K234" s="1807">
        <v>3050</v>
      </c>
      <c r="L234" s="1807" t="s">
        <v>1868</v>
      </c>
      <c r="M234" s="1807" t="s">
        <v>1871</v>
      </c>
      <c r="N234" s="1808" t="s">
        <v>1897</v>
      </c>
      <c r="O234" s="1807" t="s">
        <v>840</v>
      </c>
      <c r="P234" s="1807" t="s">
        <v>1804</v>
      </c>
      <c r="Q234" s="1807"/>
    </row>
    <row r="235" spans="1:17" ht="16.5" thickBot="1">
      <c r="A235" s="1806" t="s">
        <v>1894</v>
      </c>
      <c r="B235" s="1807" t="s">
        <v>1895</v>
      </c>
      <c r="C235" s="1807">
        <v>218</v>
      </c>
      <c r="D235" s="1807" t="s">
        <v>325</v>
      </c>
      <c r="E235" s="1807">
        <v>7230</v>
      </c>
      <c r="F235" s="1807" t="s">
        <v>232</v>
      </c>
      <c r="G235" s="1807">
        <v>6795</v>
      </c>
      <c r="H235" s="1807" t="s">
        <v>1896</v>
      </c>
      <c r="I235" s="1807">
        <v>1992</v>
      </c>
      <c r="J235" s="1807">
        <v>1992</v>
      </c>
      <c r="K235" s="1807">
        <v>3050</v>
      </c>
      <c r="L235" s="1807" t="s">
        <v>1868</v>
      </c>
      <c r="M235" s="1807" t="s">
        <v>1871</v>
      </c>
      <c r="N235" s="1808" t="s">
        <v>1898</v>
      </c>
      <c r="O235" s="1807" t="s">
        <v>840</v>
      </c>
      <c r="P235" s="1807" t="s">
        <v>1804</v>
      </c>
      <c r="Q235" s="1807"/>
    </row>
    <row r="236" spans="1:17" ht="24.5" thickBot="1">
      <c r="A236" s="1806" t="s">
        <v>1894</v>
      </c>
      <c r="B236" s="1807" t="s">
        <v>1895</v>
      </c>
      <c r="C236" s="1807">
        <v>218</v>
      </c>
      <c r="D236" s="1807" t="s">
        <v>325</v>
      </c>
      <c r="E236" s="1807">
        <v>724413</v>
      </c>
      <c r="F236" s="1807" t="s">
        <v>1899</v>
      </c>
      <c r="G236" s="1807">
        <v>6795</v>
      </c>
      <c r="H236" s="1807" t="s">
        <v>1896</v>
      </c>
      <c r="I236" s="1807">
        <v>1992</v>
      </c>
      <c r="J236" s="1807">
        <v>1992</v>
      </c>
      <c r="K236" s="1807">
        <v>3050</v>
      </c>
      <c r="L236" s="1807" t="s">
        <v>1868</v>
      </c>
      <c r="M236" s="1807" t="s">
        <v>1871</v>
      </c>
      <c r="N236" s="1809">
        <v>8904</v>
      </c>
      <c r="O236" s="1807" t="s">
        <v>840</v>
      </c>
      <c r="P236" s="1807" t="s">
        <v>1804</v>
      </c>
      <c r="Q236" s="1807"/>
    </row>
    <row r="237" spans="1:17" ht="24.5" thickBot="1">
      <c r="A237" s="1806" t="s">
        <v>1894</v>
      </c>
      <c r="B237" s="1807" t="s">
        <v>1895</v>
      </c>
      <c r="C237" s="1807">
        <v>218</v>
      </c>
      <c r="D237" s="1807" t="s">
        <v>325</v>
      </c>
      <c r="E237" s="1807">
        <v>724313</v>
      </c>
      <c r="F237" s="1807" t="s">
        <v>1900</v>
      </c>
      <c r="G237" s="1807">
        <v>6795</v>
      </c>
      <c r="H237" s="1807" t="s">
        <v>1896</v>
      </c>
      <c r="I237" s="1807">
        <v>1992</v>
      </c>
      <c r="J237" s="1807">
        <v>1992</v>
      </c>
      <c r="K237" s="1807">
        <v>3050</v>
      </c>
      <c r="L237" s="1807" t="s">
        <v>1868</v>
      </c>
      <c r="M237" s="1807" t="s">
        <v>1871</v>
      </c>
      <c r="N237" s="1809">
        <v>7685</v>
      </c>
      <c r="O237" s="1807" t="s">
        <v>840</v>
      </c>
      <c r="P237" s="1807" t="s">
        <v>1804</v>
      </c>
      <c r="Q237" s="1807"/>
    </row>
    <row r="238" spans="1:17" ht="16.5" thickBot="1">
      <c r="A238" s="1806" t="s">
        <v>1894</v>
      </c>
      <c r="B238" s="1807" t="s">
        <v>1895</v>
      </c>
      <c r="C238" s="1807">
        <v>218</v>
      </c>
      <c r="D238" s="1807" t="s">
        <v>325</v>
      </c>
      <c r="E238" s="1807">
        <v>723113</v>
      </c>
      <c r="F238" s="1807" t="s">
        <v>1901</v>
      </c>
      <c r="G238" s="1807">
        <v>6795</v>
      </c>
      <c r="H238" s="1807" t="s">
        <v>1896</v>
      </c>
      <c r="I238" s="1807">
        <v>1992</v>
      </c>
      <c r="J238" s="1807">
        <v>1992</v>
      </c>
      <c r="K238" s="1807">
        <v>3050</v>
      </c>
      <c r="L238" s="1807" t="s">
        <v>1868</v>
      </c>
      <c r="M238" s="1807" t="s">
        <v>1871</v>
      </c>
      <c r="N238" s="1809">
        <v>16589</v>
      </c>
      <c r="O238" s="1807" t="s">
        <v>840</v>
      </c>
      <c r="P238" s="1807" t="s">
        <v>1804</v>
      </c>
      <c r="Q238" s="1807"/>
    </row>
    <row r="239" spans="1:17" ht="16.5" thickBot="1">
      <c r="A239" s="1806" t="s">
        <v>1894</v>
      </c>
      <c r="B239" s="1807" t="s">
        <v>1895</v>
      </c>
      <c r="C239" s="1807">
        <v>218</v>
      </c>
      <c r="D239" s="1807" t="s">
        <v>325</v>
      </c>
      <c r="E239" s="1807">
        <v>7225</v>
      </c>
      <c r="F239" s="1807" t="s">
        <v>1870</v>
      </c>
      <c r="G239" s="1807">
        <v>6795</v>
      </c>
      <c r="H239" s="1807" t="s">
        <v>1896</v>
      </c>
      <c r="I239" s="1807">
        <v>1993</v>
      </c>
      <c r="J239" s="1807">
        <v>1993</v>
      </c>
      <c r="K239" s="1807">
        <v>3050</v>
      </c>
      <c r="L239" s="1807" t="s">
        <v>1868</v>
      </c>
      <c r="M239" s="1807" t="s">
        <v>1871</v>
      </c>
      <c r="N239" s="1808" t="s">
        <v>1897</v>
      </c>
      <c r="O239" s="1807" t="s">
        <v>840</v>
      </c>
      <c r="P239" s="1807" t="s">
        <v>1804</v>
      </c>
      <c r="Q239" s="1807"/>
    </row>
    <row r="240" spans="1:17" ht="16.5" thickBot="1">
      <c r="A240" s="1806" t="s">
        <v>1894</v>
      </c>
      <c r="B240" s="1807" t="s">
        <v>1895</v>
      </c>
      <c r="C240" s="1807">
        <v>218</v>
      </c>
      <c r="D240" s="1807" t="s">
        <v>325</v>
      </c>
      <c r="E240" s="1807">
        <v>7230</v>
      </c>
      <c r="F240" s="1807" t="s">
        <v>232</v>
      </c>
      <c r="G240" s="1807">
        <v>6795</v>
      </c>
      <c r="H240" s="1807" t="s">
        <v>1896</v>
      </c>
      <c r="I240" s="1807">
        <v>1993</v>
      </c>
      <c r="J240" s="1807">
        <v>1993</v>
      </c>
      <c r="K240" s="1807">
        <v>3050</v>
      </c>
      <c r="L240" s="1807" t="s">
        <v>1868</v>
      </c>
      <c r="M240" s="1807" t="s">
        <v>1871</v>
      </c>
      <c r="N240" s="1808" t="s">
        <v>1898</v>
      </c>
      <c r="O240" s="1807" t="s">
        <v>840</v>
      </c>
      <c r="P240" s="1807" t="s">
        <v>1804</v>
      </c>
      <c r="Q240" s="1807"/>
    </row>
    <row r="241" spans="1:17" ht="24.5" thickBot="1">
      <c r="A241" s="1806" t="s">
        <v>1894</v>
      </c>
      <c r="B241" s="1807" t="s">
        <v>1895</v>
      </c>
      <c r="C241" s="1807">
        <v>218</v>
      </c>
      <c r="D241" s="1807" t="s">
        <v>325</v>
      </c>
      <c r="E241" s="1807">
        <v>724413</v>
      </c>
      <c r="F241" s="1807" t="s">
        <v>1899</v>
      </c>
      <c r="G241" s="1807">
        <v>6795</v>
      </c>
      <c r="H241" s="1807" t="s">
        <v>1896</v>
      </c>
      <c r="I241" s="1807">
        <v>1993</v>
      </c>
      <c r="J241" s="1807">
        <v>1993</v>
      </c>
      <c r="K241" s="1807">
        <v>3050</v>
      </c>
      <c r="L241" s="1807" t="s">
        <v>1868</v>
      </c>
      <c r="M241" s="1807" t="s">
        <v>1871</v>
      </c>
      <c r="N241" s="1809">
        <v>8904</v>
      </c>
      <c r="O241" s="1807" t="s">
        <v>840</v>
      </c>
      <c r="P241" s="1807" t="s">
        <v>1804</v>
      </c>
      <c r="Q241" s="1807"/>
    </row>
    <row r="242" spans="1:17" ht="24.5" thickBot="1">
      <c r="A242" s="1806" t="s">
        <v>1894</v>
      </c>
      <c r="B242" s="1807" t="s">
        <v>1895</v>
      </c>
      <c r="C242" s="1807">
        <v>218</v>
      </c>
      <c r="D242" s="1807" t="s">
        <v>325</v>
      </c>
      <c r="E242" s="1807">
        <v>724313</v>
      </c>
      <c r="F242" s="1807" t="s">
        <v>1900</v>
      </c>
      <c r="G242" s="1807">
        <v>6795</v>
      </c>
      <c r="H242" s="1807" t="s">
        <v>1896</v>
      </c>
      <c r="I242" s="1807">
        <v>1993</v>
      </c>
      <c r="J242" s="1807">
        <v>1993</v>
      </c>
      <c r="K242" s="1807">
        <v>3050</v>
      </c>
      <c r="L242" s="1807" t="s">
        <v>1868</v>
      </c>
      <c r="M242" s="1807" t="s">
        <v>1871</v>
      </c>
      <c r="N242" s="1809">
        <v>7685</v>
      </c>
      <c r="O242" s="1807" t="s">
        <v>840</v>
      </c>
      <c r="P242" s="1807" t="s">
        <v>1804</v>
      </c>
      <c r="Q242" s="1807"/>
    </row>
    <row r="243" spans="1:17" ht="16.5" thickBot="1">
      <c r="A243" s="1806" t="s">
        <v>1894</v>
      </c>
      <c r="B243" s="1807" t="s">
        <v>1895</v>
      </c>
      <c r="C243" s="1807">
        <v>218</v>
      </c>
      <c r="D243" s="1807" t="s">
        <v>325</v>
      </c>
      <c r="E243" s="1807">
        <v>723113</v>
      </c>
      <c r="F243" s="1807" t="s">
        <v>1901</v>
      </c>
      <c r="G243" s="1807">
        <v>6795</v>
      </c>
      <c r="H243" s="1807" t="s">
        <v>1896</v>
      </c>
      <c r="I243" s="1807">
        <v>1993</v>
      </c>
      <c r="J243" s="1807">
        <v>1993</v>
      </c>
      <c r="K243" s="1807">
        <v>3050</v>
      </c>
      <c r="L243" s="1807" t="s">
        <v>1868</v>
      </c>
      <c r="M243" s="1807" t="s">
        <v>1871</v>
      </c>
      <c r="N243" s="1809">
        <v>16589</v>
      </c>
      <c r="O243" s="1807" t="s">
        <v>840</v>
      </c>
      <c r="P243" s="1807" t="s">
        <v>1804</v>
      </c>
      <c r="Q243" s="1807"/>
    </row>
    <row r="244" spans="1:17" ht="16.5" thickBot="1">
      <c r="A244" s="1806" t="s">
        <v>1894</v>
      </c>
      <c r="B244" s="1807" t="s">
        <v>1895</v>
      </c>
      <c r="C244" s="1807">
        <v>218</v>
      </c>
      <c r="D244" s="1807" t="s">
        <v>325</v>
      </c>
      <c r="E244" s="1807">
        <v>7225</v>
      </c>
      <c r="F244" s="1807" t="s">
        <v>1870</v>
      </c>
      <c r="G244" s="1807">
        <v>6795</v>
      </c>
      <c r="H244" s="1807" t="s">
        <v>1896</v>
      </c>
      <c r="I244" s="1807">
        <v>1994</v>
      </c>
      <c r="J244" s="1807">
        <v>1994</v>
      </c>
      <c r="K244" s="1807">
        <v>3050</v>
      </c>
      <c r="L244" s="1807" t="s">
        <v>1868</v>
      </c>
      <c r="M244" s="1807" t="s">
        <v>1871</v>
      </c>
      <c r="N244" s="1808" t="s">
        <v>1897</v>
      </c>
      <c r="O244" s="1807" t="s">
        <v>840</v>
      </c>
      <c r="P244" s="1807" t="s">
        <v>1804</v>
      </c>
      <c r="Q244" s="1807"/>
    </row>
    <row r="245" spans="1:17" ht="16.5" thickBot="1">
      <c r="A245" s="1806" t="s">
        <v>1894</v>
      </c>
      <c r="B245" s="1807" t="s">
        <v>1895</v>
      </c>
      <c r="C245" s="1807">
        <v>218</v>
      </c>
      <c r="D245" s="1807" t="s">
        <v>325</v>
      </c>
      <c r="E245" s="1807">
        <v>7230</v>
      </c>
      <c r="F245" s="1807" t="s">
        <v>232</v>
      </c>
      <c r="G245" s="1807">
        <v>6795</v>
      </c>
      <c r="H245" s="1807" t="s">
        <v>1896</v>
      </c>
      <c r="I245" s="1807">
        <v>1994</v>
      </c>
      <c r="J245" s="1807">
        <v>1994</v>
      </c>
      <c r="K245" s="1807">
        <v>3050</v>
      </c>
      <c r="L245" s="1807" t="s">
        <v>1868</v>
      </c>
      <c r="M245" s="1807" t="s">
        <v>1871</v>
      </c>
      <c r="N245" s="1808" t="s">
        <v>1898</v>
      </c>
      <c r="O245" s="1807" t="s">
        <v>840</v>
      </c>
      <c r="P245" s="1807" t="s">
        <v>1804</v>
      </c>
      <c r="Q245" s="1807"/>
    </row>
    <row r="246" spans="1:17" ht="24.5" thickBot="1">
      <c r="A246" s="1806" t="s">
        <v>1894</v>
      </c>
      <c r="B246" s="1807" t="s">
        <v>1895</v>
      </c>
      <c r="C246" s="1807">
        <v>218</v>
      </c>
      <c r="D246" s="1807" t="s">
        <v>325</v>
      </c>
      <c r="E246" s="1807">
        <v>724413</v>
      </c>
      <c r="F246" s="1807" t="s">
        <v>1899</v>
      </c>
      <c r="G246" s="1807">
        <v>6795</v>
      </c>
      <c r="H246" s="1807" t="s">
        <v>1896</v>
      </c>
      <c r="I246" s="1807">
        <v>1994</v>
      </c>
      <c r="J246" s="1807">
        <v>1994</v>
      </c>
      <c r="K246" s="1807">
        <v>3050</v>
      </c>
      <c r="L246" s="1807" t="s">
        <v>1868</v>
      </c>
      <c r="M246" s="1807" t="s">
        <v>1871</v>
      </c>
      <c r="N246" s="1809">
        <v>8904</v>
      </c>
      <c r="O246" s="1807" t="s">
        <v>840</v>
      </c>
      <c r="P246" s="1807" t="s">
        <v>1804</v>
      </c>
      <c r="Q246" s="1807"/>
    </row>
    <row r="247" spans="1:17" ht="24.5" thickBot="1">
      <c r="A247" s="1806" t="s">
        <v>1894</v>
      </c>
      <c r="B247" s="1807" t="s">
        <v>1895</v>
      </c>
      <c r="C247" s="1807">
        <v>218</v>
      </c>
      <c r="D247" s="1807" t="s">
        <v>325</v>
      </c>
      <c r="E247" s="1807">
        <v>724313</v>
      </c>
      <c r="F247" s="1807" t="s">
        <v>1900</v>
      </c>
      <c r="G247" s="1807">
        <v>6795</v>
      </c>
      <c r="H247" s="1807" t="s">
        <v>1896</v>
      </c>
      <c r="I247" s="1807">
        <v>1994</v>
      </c>
      <c r="J247" s="1807">
        <v>1994</v>
      </c>
      <c r="K247" s="1807">
        <v>3050</v>
      </c>
      <c r="L247" s="1807" t="s">
        <v>1868</v>
      </c>
      <c r="M247" s="1807" t="s">
        <v>1871</v>
      </c>
      <c r="N247" s="1809">
        <v>7685</v>
      </c>
      <c r="O247" s="1807" t="s">
        <v>840</v>
      </c>
      <c r="P247" s="1807" t="s">
        <v>1804</v>
      </c>
      <c r="Q247" s="1807"/>
    </row>
    <row r="248" spans="1:17" ht="16.5" thickBot="1">
      <c r="A248" s="1806" t="s">
        <v>1894</v>
      </c>
      <c r="B248" s="1807" t="s">
        <v>1895</v>
      </c>
      <c r="C248" s="1807">
        <v>218</v>
      </c>
      <c r="D248" s="1807" t="s">
        <v>325</v>
      </c>
      <c r="E248" s="1807">
        <v>723113</v>
      </c>
      <c r="F248" s="1807" t="s">
        <v>1901</v>
      </c>
      <c r="G248" s="1807">
        <v>6795</v>
      </c>
      <c r="H248" s="1807" t="s">
        <v>1896</v>
      </c>
      <c r="I248" s="1807">
        <v>1994</v>
      </c>
      <c r="J248" s="1807">
        <v>1994</v>
      </c>
      <c r="K248" s="1807">
        <v>3050</v>
      </c>
      <c r="L248" s="1807" t="s">
        <v>1868</v>
      </c>
      <c r="M248" s="1807" t="s">
        <v>1871</v>
      </c>
      <c r="N248" s="1809">
        <v>16589</v>
      </c>
      <c r="O248" s="1807" t="s">
        <v>840</v>
      </c>
      <c r="P248" s="1807" t="s">
        <v>1804</v>
      </c>
      <c r="Q248" s="1807"/>
    </row>
    <row r="249" spans="1:17" ht="16.5" thickBot="1">
      <c r="A249" s="1806" t="s">
        <v>1894</v>
      </c>
      <c r="B249" s="1807" t="s">
        <v>1895</v>
      </c>
      <c r="C249" s="1807">
        <v>218</v>
      </c>
      <c r="D249" s="1807" t="s">
        <v>325</v>
      </c>
      <c r="E249" s="1807">
        <v>7225</v>
      </c>
      <c r="F249" s="1807" t="s">
        <v>1870</v>
      </c>
      <c r="G249" s="1807">
        <v>6795</v>
      </c>
      <c r="H249" s="1807" t="s">
        <v>1896</v>
      </c>
      <c r="I249" s="1807">
        <v>1995</v>
      </c>
      <c r="J249" s="1807">
        <v>1995</v>
      </c>
      <c r="K249" s="1807">
        <v>3050</v>
      </c>
      <c r="L249" s="1807" t="s">
        <v>1868</v>
      </c>
      <c r="M249" s="1807" t="s">
        <v>1871</v>
      </c>
      <c r="N249" s="1808" t="s">
        <v>1897</v>
      </c>
      <c r="O249" s="1807" t="s">
        <v>840</v>
      </c>
      <c r="P249" s="1807" t="s">
        <v>1804</v>
      </c>
      <c r="Q249" s="1807"/>
    </row>
    <row r="250" spans="1:17" ht="16.5" thickBot="1">
      <c r="A250" s="1806" t="s">
        <v>1894</v>
      </c>
      <c r="B250" s="1807" t="s">
        <v>1895</v>
      </c>
      <c r="C250" s="1807">
        <v>218</v>
      </c>
      <c r="D250" s="1807" t="s">
        <v>325</v>
      </c>
      <c r="E250" s="1807">
        <v>7230</v>
      </c>
      <c r="F250" s="1807" t="s">
        <v>232</v>
      </c>
      <c r="G250" s="1807">
        <v>6795</v>
      </c>
      <c r="H250" s="1807" t="s">
        <v>1896</v>
      </c>
      <c r="I250" s="1807">
        <v>1995</v>
      </c>
      <c r="J250" s="1807">
        <v>1995</v>
      </c>
      <c r="K250" s="1807">
        <v>3050</v>
      </c>
      <c r="L250" s="1807" t="s">
        <v>1868</v>
      </c>
      <c r="M250" s="1807" t="s">
        <v>1871</v>
      </c>
      <c r="N250" s="1808" t="s">
        <v>1898</v>
      </c>
      <c r="O250" s="1807" t="s">
        <v>840</v>
      </c>
      <c r="P250" s="1807" t="s">
        <v>1804</v>
      </c>
      <c r="Q250" s="1807"/>
    </row>
    <row r="251" spans="1:17" ht="24.5" thickBot="1">
      <c r="A251" s="1806" t="s">
        <v>1894</v>
      </c>
      <c r="B251" s="1807" t="s">
        <v>1895</v>
      </c>
      <c r="C251" s="1807">
        <v>218</v>
      </c>
      <c r="D251" s="1807" t="s">
        <v>325</v>
      </c>
      <c r="E251" s="1807">
        <v>724413</v>
      </c>
      <c r="F251" s="1807" t="s">
        <v>1899</v>
      </c>
      <c r="G251" s="1807">
        <v>6795</v>
      </c>
      <c r="H251" s="1807" t="s">
        <v>1896</v>
      </c>
      <c r="I251" s="1807">
        <v>1995</v>
      </c>
      <c r="J251" s="1807">
        <v>1995</v>
      </c>
      <c r="K251" s="1807">
        <v>3050</v>
      </c>
      <c r="L251" s="1807" t="s">
        <v>1868</v>
      </c>
      <c r="M251" s="1807" t="s">
        <v>1871</v>
      </c>
      <c r="N251" s="1809">
        <v>8904</v>
      </c>
      <c r="O251" s="1807" t="s">
        <v>840</v>
      </c>
      <c r="P251" s="1807" t="s">
        <v>1804</v>
      </c>
      <c r="Q251" s="1807"/>
    </row>
    <row r="252" spans="1:17" ht="24.5" thickBot="1">
      <c r="A252" s="1806" t="s">
        <v>1894</v>
      </c>
      <c r="B252" s="1807" t="s">
        <v>1895</v>
      </c>
      <c r="C252" s="1807">
        <v>218</v>
      </c>
      <c r="D252" s="1807" t="s">
        <v>325</v>
      </c>
      <c r="E252" s="1807">
        <v>724313</v>
      </c>
      <c r="F252" s="1807" t="s">
        <v>1900</v>
      </c>
      <c r="G252" s="1807">
        <v>6795</v>
      </c>
      <c r="H252" s="1807" t="s">
        <v>1896</v>
      </c>
      <c r="I252" s="1807">
        <v>1995</v>
      </c>
      <c r="J252" s="1807">
        <v>1995</v>
      </c>
      <c r="K252" s="1807">
        <v>3050</v>
      </c>
      <c r="L252" s="1807" t="s">
        <v>1868</v>
      </c>
      <c r="M252" s="1807" t="s">
        <v>1871</v>
      </c>
      <c r="N252" s="1809">
        <v>7685</v>
      </c>
      <c r="O252" s="1807" t="s">
        <v>840</v>
      </c>
      <c r="P252" s="1807" t="s">
        <v>1804</v>
      </c>
      <c r="Q252" s="1807"/>
    </row>
    <row r="253" spans="1:17" ht="16.5" thickBot="1">
      <c r="A253" s="1806" t="s">
        <v>1894</v>
      </c>
      <c r="B253" s="1807" t="s">
        <v>1895</v>
      </c>
      <c r="C253" s="1807">
        <v>218</v>
      </c>
      <c r="D253" s="1807" t="s">
        <v>325</v>
      </c>
      <c r="E253" s="1807">
        <v>723113</v>
      </c>
      <c r="F253" s="1807" t="s">
        <v>1901</v>
      </c>
      <c r="G253" s="1807">
        <v>6795</v>
      </c>
      <c r="H253" s="1807" t="s">
        <v>1896</v>
      </c>
      <c r="I253" s="1807">
        <v>1995</v>
      </c>
      <c r="J253" s="1807">
        <v>1995</v>
      </c>
      <c r="K253" s="1807">
        <v>3050</v>
      </c>
      <c r="L253" s="1807" t="s">
        <v>1868</v>
      </c>
      <c r="M253" s="1807" t="s">
        <v>1871</v>
      </c>
      <c r="N253" s="1809">
        <v>16589</v>
      </c>
      <c r="O253" s="1807" t="s">
        <v>840</v>
      </c>
      <c r="P253" s="1807" t="s">
        <v>1804</v>
      </c>
      <c r="Q253" s="1807"/>
    </row>
    <row r="254" spans="1:17" ht="16.5" thickBot="1">
      <c r="A254" s="1806" t="s">
        <v>1894</v>
      </c>
      <c r="B254" s="1807" t="s">
        <v>1895</v>
      </c>
      <c r="C254" s="1807">
        <v>218</v>
      </c>
      <c r="D254" s="1807" t="s">
        <v>325</v>
      </c>
      <c r="E254" s="1807">
        <v>7225</v>
      </c>
      <c r="F254" s="1807" t="s">
        <v>1870</v>
      </c>
      <c r="G254" s="1807">
        <v>6795</v>
      </c>
      <c r="H254" s="1807" t="s">
        <v>1896</v>
      </c>
      <c r="I254" s="1807">
        <v>1996</v>
      </c>
      <c r="J254" s="1807">
        <v>1996</v>
      </c>
      <c r="K254" s="1807">
        <v>3050</v>
      </c>
      <c r="L254" s="1807" t="s">
        <v>1868</v>
      </c>
      <c r="M254" s="1807" t="s">
        <v>1871</v>
      </c>
      <c r="N254" s="1808" t="s">
        <v>1902</v>
      </c>
      <c r="O254" s="1807" t="s">
        <v>840</v>
      </c>
      <c r="P254" s="1807" t="s">
        <v>1804</v>
      </c>
      <c r="Q254" s="1807"/>
    </row>
    <row r="255" spans="1:17" ht="16.5" thickBot="1">
      <c r="A255" s="1806" t="s">
        <v>1894</v>
      </c>
      <c r="B255" s="1807" t="s">
        <v>1895</v>
      </c>
      <c r="C255" s="1807">
        <v>218</v>
      </c>
      <c r="D255" s="1807" t="s">
        <v>325</v>
      </c>
      <c r="E255" s="1807">
        <v>7230</v>
      </c>
      <c r="F255" s="1807" t="s">
        <v>232</v>
      </c>
      <c r="G255" s="1807">
        <v>6795</v>
      </c>
      <c r="H255" s="1807" t="s">
        <v>1896</v>
      </c>
      <c r="I255" s="1807">
        <v>1996</v>
      </c>
      <c r="J255" s="1807">
        <v>1996</v>
      </c>
      <c r="K255" s="1807">
        <v>3050</v>
      </c>
      <c r="L255" s="1807" t="s">
        <v>1868</v>
      </c>
      <c r="M255" s="1807" t="s">
        <v>1871</v>
      </c>
      <c r="N255" s="1808" t="s">
        <v>1903</v>
      </c>
      <c r="O255" s="1807" t="s">
        <v>840</v>
      </c>
      <c r="P255" s="1807" t="s">
        <v>1804</v>
      </c>
      <c r="Q255" s="1807"/>
    </row>
    <row r="256" spans="1:17" ht="24.5" thickBot="1">
      <c r="A256" s="1806" t="s">
        <v>1894</v>
      </c>
      <c r="B256" s="1807" t="s">
        <v>1895</v>
      </c>
      <c r="C256" s="1807">
        <v>218</v>
      </c>
      <c r="D256" s="1807" t="s">
        <v>325</v>
      </c>
      <c r="E256" s="1807">
        <v>724413</v>
      </c>
      <c r="F256" s="1807" t="s">
        <v>1899</v>
      </c>
      <c r="G256" s="1807">
        <v>6795</v>
      </c>
      <c r="H256" s="1807" t="s">
        <v>1896</v>
      </c>
      <c r="I256" s="1807">
        <v>1996</v>
      </c>
      <c r="J256" s="1807">
        <v>1996</v>
      </c>
      <c r="K256" s="1807">
        <v>3050</v>
      </c>
      <c r="L256" s="1807" t="s">
        <v>1868</v>
      </c>
      <c r="M256" s="1807" t="s">
        <v>1871</v>
      </c>
      <c r="N256" s="1809">
        <v>19964</v>
      </c>
      <c r="O256" s="1807" t="s">
        <v>840</v>
      </c>
      <c r="P256" s="1807" t="s">
        <v>1804</v>
      </c>
      <c r="Q256" s="1807"/>
    </row>
    <row r="257" spans="1:17" ht="24.5" thickBot="1">
      <c r="A257" s="1806" t="s">
        <v>1894</v>
      </c>
      <c r="B257" s="1807" t="s">
        <v>1895</v>
      </c>
      <c r="C257" s="1807">
        <v>218</v>
      </c>
      <c r="D257" s="1807" t="s">
        <v>325</v>
      </c>
      <c r="E257" s="1807">
        <v>724313</v>
      </c>
      <c r="F257" s="1807" t="s">
        <v>1900</v>
      </c>
      <c r="G257" s="1807">
        <v>6795</v>
      </c>
      <c r="H257" s="1807" t="s">
        <v>1896</v>
      </c>
      <c r="I257" s="1807">
        <v>1996</v>
      </c>
      <c r="J257" s="1807">
        <v>1996</v>
      </c>
      <c r="K257" s="1807">
        <v>3050</v>
      </c>
      <c r="L257" s="1807" t="s">
        <v>1868</v>
      </c>
      <c r="M257" s="1807" t="s">
        <v>1871</v>
      </c>
      <c r="N257" s="1809">
        <v>17225</v>
      </c>
      <c r="O257" s="1807" t="s">
        <v>840</v>
      </c>
      <c r="P257" s="1807" t="s">
        <v>1804</v>
      </c>
      <c r="Q257" s="1807"/>
    </row>
    <row r="258" spans="1:17" ht="16.5" thickBot="1">
      <c r="A258" s="1806" t="s">
        <v>1894</v>
      </c>
      <c r="B258" s="1807" t="s">
        <v>1895</v>
      </c>
      <c r="C258" s="1807">
        <v>218</v>
      </c>
      <c r="D258" s="1807" t="s">
        <v>325</v>
      </c>
      <c r="E258" s="1807">
        <v>723113</v>
      </c>
      <c r="F258" s="1807" t="s">
        <v>1901</v>
      </c>
      <c r="G258" s="1807">
        <v>6795</v>
      </c>
      <c r="H258" s="1807" t="s">
        <v>1896</v>
      </c>
      <c r="I258" s="1807">
        <v>1996</v>
      </c>
      <c r="J258" s="1807">
        <v>1996</v>
      </c>
      <c r="K258" s="1807">
        <v>3050</v>
      </c>
      <c r="L258" s="1807" t="s">
        <v>1868</v>
      </c>
      <c r="M258" s="1807" t="s">
        <v>1871</v>
      </c>
      <c r="N258" s="1809">
        <v>37189</v>
      </c>
      <c r="O258" s="1807" t="s">
        <v>840</v>
      </c>
      <c r="P258" s="1807" t="s">
        <v>1804</v>
      </c>
      <c r="Q258" s="1807"/>
    </row>
    <row r="259" spans="1:17" ht="16.5" thickBot="1">
      <c r="A259" s="1806" t="s">
        <v>1894</v>
      </c>
      <c r="B259" s="1807" t="s">
        <v>1895</v>
      </c>
      <c r="C259" s="1807">
        <v>218</v>
      </c>
      <c r="D259" s="1807" t="s">
        <v>325</v>
      </c>
      <c r="E259" s="1807">
        <v>7225</v>
      </c>
      <c r="F259" s="1807" t="s">
        <v>1870</v>
      </c>
      <c r="G259" s="1807">
        <v>6795</v>
      </c>
      <c r="H259" s="1807" t="s">
        <v>1896</v>
      </c>
      <c r="I259" s="1807">
        <v>1997</v>
      </c>
      <c r="J259" s="1807">
        <v>1997</v>
      </c>
      <c r="K259" s="1807">
        <v>3050</v>
      </c>
      <c r="L259" s="1807" t="s">
        <v>1868</v>
      </c>
      <c r="M259" s="1807" t="s">
        <v>1871</v>
      </c>
      <c r="N259" s="1808" t="s">
        <v>1904</v>
      </c>
      <c r="O259" s="1807" t="s">
        <v>840</v>
      </c>
      <c r="P259" s="1807" t="s">
        <v>1804</v>
      </c>
      <c r="Q259" s="1807"/>
    </row>
    <row r="260" spans="1:17" ht="16.5" thickBot="1">
      <c r="A260" s="1806" t="s">
        <v>1894</v>
      </c>
      <c r="B260" s="1807" t="s">
        <v>1895</v>
      </c>
      <c r="C260" s="1807">
        <v>218</v>
      </c>
      <c r="D260" s="1807" t="s">
        <v>325</v>
      </c>
      <c r="E260" s="1807">
        <v>7230</v>
      </c>
      <c r="F260" s="1807" t="s">
        <v>232</v>
      </c>
      <c r="G260" s="1807">
        <v>6795</v>
      </c>
      <c r="H260" s="1807" t="s">
        <v>1896</v>
      </c>
      <c r="I260" s="1807">
        <v>1997</v>
      </c>
      <c r="J260" s="1807">
        <v>1997</v>
      </c>
      <c r="K260" s="1807">
        <v>3050</v>
      </c>
      <c r="L260" s="1807" t="s">
        <v>1868</v>
      </c>
      <c r="M260" s="1807" t="s">
        <v>1871</v>
      </c>
      <c r="N260" s="1808" t="s">
        <v>1905</v>
      </c>
      <c r="O260" s="1807" t="s">
        <v>840</v>
      </c>
      <c r="P260" s="1807" t="s">
        <v>1804</v>
      </c>
      <c r="Q260" s="1807"/>
    </row>
    <row r="261" spans="1:17" ht="24.5" thickBot="1">
      <c r="A261" s="1806" t="s">
        <v>1894</v>
      </c>
      <c r="B261" s="1807" t="s">
        <v>1895</v>
      </c>
      <c r="C261" s="1807">
        <v>218</v>
      </c>
      <c r="D261" s="1807" t="s">
        <v>325</v>
      </c>
      <c r="E261" s="1807">
        <v>724413</v>
      </c>
      <c r="F261" s="1807" t="s">
        <v>1899</v>
      </c>
      <c r="G261" s="1807">
        <v>6795</v>
      </c>
      <c r="H261" s="1807" t="s">
        <v>1896</v>
      </c>
      <c r="I261" s="1807">
        <v>1997</v>
      </c>
      <c r="J261" s="1807">
        <v>1997</v>
      </c>
      <c r="K261" s="1807">
        <v>3050</v>
      </c>
      <c r="L261" s="1807" t="s">
        <v>1868</v>
      </c>
      <c r="M261" s="1807" t="s">
        <v>1871</v>
      </c>
      <c r="N261" s="1809">
        <v>23772</v>
      </c>
      <c r="O261" s="1807" t="s">
        <v>840</v>
      </c>
      <c r="P261" s="1807" t="s">
        <v>1804</v>
      </c>
      <c r="Q261" s="1807"/>
    </row>
    <row r="262" spans="1:17" ht="24.5" thickBot="1">
      <c r="A262" s="1806" t="s">
        <v>1894</v>
      </c>
      <c r="B262" s="1807" t="s">
        <v>1895</v>
      </c>
      <c r="C262" s="1807">
        <v>218</v>
      </c>
      <c r="D262" s="1807" t="s">
        <v>325</v>
      </c>
      <c r="E262" s="1807">
        <v>724313</v>
      </c>
      <c r="F262" s="1807" t="s">
        <v>1900</v>
      </c>
      <c r="G262" s="1807">
        <v>6795</v>
      </c>
      <c r="H262" s="1807" t="s">
        <v>1896</v>
      </c>
      <c r="I262" s="1807">
        <v>1997</v>
      </c>
      <c r="J262" s="1807">
        <v>1997</v>
      </c>
      <c r="K262" s="1807">
        <v>3050</v>
      </c>
      <c r="L262" s="1807" t="s">
        <v>1868</v>
      </c>
      <c r="M262" s="1807" t="s">
        <v>1871</v>
      </c>
      <c r="N262" s="1809">
        <v>2067</v>
      </c>
      <c r="O262" s="1807" t="s">
        <v>840</v>
      </c>
      <c r="P262" s="1807" t="s">
        <v>1804</v>
      </c>
      <c r="Q262" s="1807"/>
    </row>
    <row r="263" spans="1:17" ht="16.5" thickBot="1">
      <c r="A263" s="1806" t="s">
        <v>1894</v>
      </c>
      <c r="B263" s="1807" t="s">
        <v>1895</v>
      </c>
      <c r="C263" s="1807">
        <v>218</v>
      </c>
      <c r="D263" s="1807" t="s">
        <v>325</v>
      </c>
      <c r="E263" s="1807">
        <v>723113</v>
      </c>
      <c r="F263" s="1807" t="s">
        <v>1901</v>
      </c>
      <c r="G263" s="1807">
        <v>6795</v>
      </c>
      <c r="H263" s="1807" t="s">
        <v>1896</v>
      </c>
      <c r="I263" s="1807">
        <v>1997</v>
      </c>
      <c r="J263" s="1807">
        <v>1997</v>
      </c>
      <c r="K263" s="1807">
        <v>3050</v>
      </c>
      <c r="L263" s="1807" t="s">
        <v>1868</v>
      </c>
      <c r="M263" s="1807" t="s">
        <v>1871</v>
      </c>
      <c r="N263" s="1809">
        <v>44442</v>
      </c>
      <c r="O263" s="1807" t="s">
        <v>840</v>
      </c>
      <c r="P263" s="1807" t="s">
        <v>1804</v>
      </c>
      <c r="Q263" s="1807"/>
    </row>
    <row r="264" spans="1:17" ht="16.5" thickBot="1">
      <c r="A264" s="1806" t="s">
        <v>1894</v>
      </c>
      <c r="B264" s="1807" t="s">
        <v>1895</v>
      </c>
      <c r="C264" s="1807">
        <v>218</v>
      </c>
      <c r="D264" s="1807" t="s">
        <v>325</v>
      </c>
      <c r="E264" s="1807">
        <v>7225</v>
      </c>
      <c r="F264" s="1807" t="s">
        <v>1870</v>
      </c>
      <c r="G264" s="1807">
        <v>6795</v>
      </c>
      <c r="H264" s="1807" t="s">
        <v>1896</v>
      </c>
      <c r="I264" s="1807">
        <v>1998</v>
      </c>
      <c r="J264" s="1807">
        <v>1998</v>
      </c>
      <c r="K264" s="1807">
        <v>3050</v>
      </c>
      <c r="L264" s="1807" t="s">
        <v>1868</v>
      </c>
      <c r="M264" s="1807" t="s">
        <v>1871</v>
      </c>
      <c r="N264" s="1808" t="s">
        <v>1906</v>
      </c>
      <c r="O264" s="1807" t="s">
        <v>840</v>
      </c>
      <c r="P264" s="1807" t="s">
        <v>1804</v>
      </c>
      <c r="Q264" s="1807"/>
    </row>
    <row r="265" spans="1:17" ht="16.5" thickBot="1">
      <c r="A265" s="1806" t="s">
        <v>1894</v>
      </c>
      <c r="B265" s="1807" t="s">
        <v>1895</v>
      </c>
      <c r="C265" s="1807">
        <v>218</v>
      </c>
      <c r="D265" s="1807" t="s">
        <v>325</v>
      </c>
      <c r="E265" s="1807">
        <v>7230</v>
      </c>
      <c r="F265" s="1807" t="s">
        <v>232</v>
      </c>
      <c r="G265" s="1807">
        <v>6795</v>
      </c>
      <c r="H265" s="1807" t="s">
        <v>1896</v>
      </c>
      <c r="I265" s="1807">
        <v>1998</v>
      </c>
      <c r="J265" s="1807">
        <v>1998</v>
      </c>
      <c r="K265" s="1807">
        <v>3050</v>
      </c>
      <c r="L265" s="1807" t="s">
        <v>1868</v>
      </c>
      <c r="M265" s="1807" t="s">
        <v>1871</v>
      </c>
      <c r="N265" s="1808" t="s">
        <v>1907</v>
      </c>
      <c r="O265" s="1807" t="s">
        <v>840</v>
      </c>
      <c r="P265" s="1807" t="s">
        <v>1804</v>
      </c>
      <c r="Q265" s="1807"/>
    </row>
    <row r="266" spans="1:17" ht="24.5" thickBot="1">
      <c r="A266" s="1806" t="s">
        <v>1894</v>
      </c>
      <c r="B266" s="1807" t="s">
        <v>1895</v>
      </c>
      <c r="C266" s="1807">
        <v>218</v>
      </c>
      <c r="D266" s="1807" t="s">
        <v>325</v>
      </c>
      <c r="E266" s="1807">
        <v>724413</v>
      </c>
      <c r="F266" s="1807" t="s">
        <v>1899</v>
      </c>
      <c r="G266" s="1807">
        <v>6795</v>
      </c>
      <c r="H266" s="1807" t="s">
        <v>1896</v>
      </c>
      <c r="I266" s="1807">
        <v>1998</v>
      </c>
      <c r="J266" s="1807">
        <v>1998</v>
      </c>
      <c r="K266" s="1807">
        <v>3050</v>
      </c>
      <c r="L266" s="1807" t="s">
        <v>1868</v>
      </c>
      <c r="M266" s="1807" t="s">
        <v>1871</v>
      </c>
      <c r="N266" s="1809">
        <v>36624</v>
      </c>
      <c r="O266" s="1807" t="s">
        <v>840</v>
      </c>
      <c r="P266" s="1807" t="s">
        <v>1804</v>
      </c>
      <c r="Q266" s="1807"/>
    </row>
    <row r="267" spans="1:17" ht="24.5" thickBot="1">
      <c r="A267" s="1806" t="s">
        <v>1894</v>
      </c>
      <c r="B267" s="1807" t="s">
        <v>1895</v>
      </c>
      <c r="C267" s="1807">
        <v>218</v>
      </c>
      <c r="D267" s="1807" t="s">
        <v>325</v>
      </c>
      <c r="E267" s="1807">
        <v>724313</v>
      </c>
      <c r="F267" s="1807" t="s">
        <v>1900</v>
      </c>
      <c r="G267" s="1807">
        <v>6795</v>
      </c>
      <c r="H267" s="1807" t="s">
        <v>1896</v>
      </c>
      <c r="I267" s="1807">
        <v>1998</v>
      </c>
      <c r="J267" s="1807">
        <v>1998</v>
      </c>
      <c r="K267" s="1807">
        <v>3050</v>
      </c>
      <c r="L267" s="1807" t="s">
        <v>1868</v>
      </c>
      <c r="M267" s="1807" t="s">
        <v>1871</v>
      </c>
      <c r="N267" s="1809">
        <v>31535</v>
      </c>
      <c r="O267" s="1807" t="s">
        <v>840</v>
      </c>
      <c r="P267" s="1807" t="s">
        <v>1804</v>
      </c>
      <c r="Q267" s="1807"/>
    </row>
    <row r="268" spans="1:17" ht="16.5" thickBot="1">
      <c r="A268" s="1806" t="s">
        <v>1894</v>
      </c>
      <c r="B268" s="1807" t="s">
        <v>1895</v>
      </c>
      <c r="C268" s="1807">
        <v>218</v>
      </c>
      <c r="D268" s="1807" t="s">
        <v>325</v>
      </c>
      <c r="E268" s="1807">
        <v>723113</v>
      </c>
      <c r="F268" s="1807" t="s">
        <v>1901</v>
      </c>
      <c r="G268" s="1807">
        <v>6795</v>
      </c>
      <c r="H268" s="1807" t="s">
        <v>1896</v>
      </c>
      <c r="I268" s="1807">
        <v>1998</v>
      </c>
      <c r="J268" s="1807">
        <v>1998</v>
      </c>
      <c r="K268" s="1807">
        <v>3050</v>
      </c>
      <c r="L268" s="1807" t="s">
        <v>1868</v>
      </c>
      <c r="M268" s="1807" t="s">
        <v>1871</v>
      </c>
      <c r="N268" s="1809">
        <v>68159</v>
      </c>
      <c r="O268" s="1807" t="s">
        <v>840</v>
      </c>
      <c r="P268" s="1807" t="s">
        <v>1804</v>
      </c>
      <c r="Q268" s="1807"/>
    </row>
    <row r="269" spans="1:17" ht="16.5" thickBot="1">
      <c r="A269" s="1806" t="s">
        <v>1894</v>
      </c>
      <c r="B269" s="1807" t="s">
        <v>1895</v>
      </c>
      <c r="C269" s="1807">
        <v>218</v>
      </c>
      <c r="D269" s="1807" t="s">
        <v>325</v>
      </c>
      <c r="E269" s="1807">
        <v>7225</v>
      </c>
      <c r="F269" s="1807" t="s">
        <v>1870</v>
      </c>
      <c r="G269" s="1807">
        <v>6795</v>
      </c>
      <c r="H269" s="1807" t="s">
        <v>1896</v>
      </c>
      <c r="I269" s="1807">
        <v>1999</v>
      </c>
      <c r="J269" s="1807">
        <v>1999</v>
      </c>
      <c r="K269" s="1807">
        <v>3050</v>
      </c>
      <c r="L269" s="1807" t="s">
        <v>1868</v>
      </c>
      <c r="M269" s="1807" t="s">
        <v>1871</v>
      </c>
      <c r="N269" s="1808" t="s">
        <v>1908</v>
      </c>
      <c r="O269" s="1807" t="s">
        <v>840</v>
      </c>
      <c r="P269" s="1807" t="s">
        <v>1804</v>
      </c>
      <c r="Q269" s="1807"/>
    </row>
    <row r="270" spans="1:17" ht="16.5" thickBot="1">
      <c r="A270" s="1806" t="s">
        <v>1894</v>
      </c>
      <c r="B270" s="1807" t="s">
        <v>1895</v>
      </c>
      <c r="C270" s="1807">
        <v>218</v>
      </c>
      <c r="D270" s="1807" t="s">
        <v>325</v>
      </c>
      <c r="E270" s="1807">
        <v>7230</v>
      </c>
      <c r="F270" s="1807" t="s">
        <v>232</v>
      </c>
      <c r="G270" s="1807">
        <v>6795</v>
      </c>
      <c r="H270" s="1807" t="s">
        <v>1896</v>
      </c>
      <c r="I270" s="1807">
        <v>1999</v>
      </c>
      <c r="J270" s="1807">
        <v>1999</v>
      </c>
      <c r="K270" s="1807">
        <v>3050</v>
      </c>
      <c r="L270" s="1807" t="s">
        <v>1868</v>
      </c>
      <c r="M270" s="1807" t="s">
        <v>1871</v>
      </c>
      <c r="N270" s="1808" t="s">
        <v>1909</v>
      </c>
      <c r="O270" s="1807" t="s">
        <v>840</v>
      </c>
      <c r="P270" s="1807" t="s">
        <v>1804</v>
      </c>
      <c r="Q270" s="1807"/>
    </row>
    <row r="271" spans="1:17" ht="24.5" thickBot="1">
      <c r="A271" s="1806" t="s">
        <v>1894</v>
      </c>
      <c r="B271" s="1807" t="s">
        <v>1895</v>
      </c>
      <c r="C271" s="1807">
        <v>218</v>
      </c>
      <c r="D271" s="1807" t="s">
        <v>325</v>
      </c>
      <c r="E271" s="1807">
        <v>724413</v>
      </c>
      <c r="F271" s="1807" t="s">
        <v>1899</v>
      </c>
      <c r="G271" s="1807">
        <v>6795</v>
      </c>
      <c r="H271" s="1807" t="s">
        <v>1896</v>
      </c>
      <c r="I271" s="1807">
        <v>1999</v>
      </c>
      <c r="J271" s="1807">
        <v>1999</v>
      </c>
      <c r="K271" s="1807">
        <v>3050</v>
      </c>
      <c r="L271" s="1807" t="s">
        <v>1868</v>
      </c>
      <c r="M271" s="1807" t="s">
        <v>1871</v>
      </c>
      <c r="N271" s="1809">
        <v>16128</v>
      </c>
      <c r="O271" s="1807" t="s">
        <v>840</v>
      </c>
      <c r="P271" s="1807" t="s">
        <v>1804</v>
      </c>
      <c r="Q271" s="1807"/>
    </row>
    <row r="272" spans="1:17" ht="24.5" thickBot="1">
      <c r="A272" s="1806" t="s">
        <v>1894</v>
      </c>
      <c r="B272" s="1807" t="s">
        <v>1895</v>
      </c>
      <c r="C272" s="1807">
        <v>218</v>
      </c>
      <c r="D272" s="1807" t="s">
        <v>325</v>
      </c>
      <c r="E272" s="1807">
        <v>724313</v>
      </c>
      <c r="F272" s="1807" t="s">
        <v>1900</v>
      </c>
      <c r="G272" s="1807">
        <v>6795</v>
      </c>
      <c r="H272" s="1807" t="s">
        <v>1896</v>
      </c>
      <c r="I272" s="1807">
        <v>1999</v>
      </c>
      <c r="J272" s="1807">
        <v>1999</v>
      </c>
      <c r="K272" s="1807">
        <v>3050</v>
      </c>
      <c r="L272" s="1807" t="s">
        <v>1868</v>
      </c>
      <c r="M272" s="1807" t="s">
        <v>1871</v>
      </c>
      <c r="N272" s="1809">
        <v>14045</v>
      </c>
      <c r="O272" s="1807" t="s">
        <v>840</v>
      </c>
      <c r="P272" s="1807" t="s">
        <v>1804</v>
      </c>
      <c r="Q272" s="1807"/>
    </row>
    <row r="273" spans="1:17" ht="16.5" thickBot="1">
      <c r="A273" s="1806" t="s">
        <v>1894</v>
      </c>
      <c r="B273" s="1807" t="s">
        <v>1895</v>
      </c>
      <c r="C273" s="1807">
        <v>218</v>
      </c>
      <c r="D273" s="1807" t="s">
        <v>325</v>
      </c>
      <c r="E273" s="1807">
        <v>723113</v>
      </c>
      <c r="F273" s="1807" t="s">
        <v>1901</v>
      </c>
      <c r="G273" s="1807">
        <v>6795</v>
      </c>
      <c r="H273" s="1807" t="s">
        <v>1896</v>
      </c>
      <c r="I273" s="1807">
        <v>1999</v>
      </c>
      <c r="J273" s="1807">
        <v>1999</v>
      </c>
      <c r="K273" s="1807">
        <v>3050</v>
      </c>
      <c r="L273" s="1807" t="s">
        <v>1868</v>
      </c>
      <c r="M273" s="1807" t="s">
        <v>1871</v>
      </c>
      <c r="N273" s="1809">
        <v>30173</v>
      </c>
      <c r="O273" s="1807" t="s">
        <v>840</v>
      </c>
      <c r="P273" s="1807" t="s">
        <v>1804</v>
      </c>
      <c r="Q273" s="1807"/>
    </row>
    <row r="274" spans="1:17" ht="16.5" thickBot="1">
      <c r="A274" s="1806" t="s">
        <v>1894</v>
      </c>
      <c r="B274" s="1807" t="s">
        <v>1895</v>
      </c>
      <c r="C274" s="1807">
        <v>218</v>
      </c>
      <c r="D274" s="1807" t="s">
        <v>325</v>
      </c>
      <c r="E274" s="1807">
        <v>7225</v>
      </c>
      <c r="F274" s="1807" t="s">
        <v>1870</v>
      </c>
      <c r="G274" s="1807">
        <v>6795</v>
      </c>
      <c r="H274" s="1807" t="s">
        <v>1896</v>
      </c>
      <c r="I274" s="1807">
        <v>2000</v>
      </c>
      <c r="J274" s="1807">
        <v>2000</v>
      </c>
      <c r="K274" s="1807">
        <v>3050</v>
      </c>
      <c r="L274" s="1807" t="s">
        <v>1868</v>
      </c>
      <c r="M274" s="1807" t="s">
        <v>1871</v>
      </c>
      <c r="N274" s="1808" t="s">
        <v>1910</v>
      </c>
      <c r="O274" s="1807" t="s">
        <v>840</v>
      </c>
      <c r="P274" s="1807" t="s">
        <v>1804</v>
      </c>
      <c r="Q274" s="1807"/>
    </row>
    <row r="275" spans="1:17" ht="16.5" thickBot="1">
      <c r="A275" s="1806" t="s">
        <v>1894</v>
      </c>
      <c r="B275" s="1807" t="s">
        <v>1895</v>
      </c>
      <c r="C275" s="1807">
        <v>218</v>
      </c>
      <c r="D275" s="1807" t="s">
        <v>325</v>
      </c>
      <c r="E275" s="1807">
        <v>7230</v>
      </c>
      <c r="F275" s="1807" t="s">
        <v>232</v>
      </c>
      <c r="G275" s="1807">
        <v>6795</v>
      </c>
      <c r="H275" s="1807" t="s">
        <v>1896</v>
      </c>
      <c r="I275" s="1807">
        <v>2000</v>
      </c>
      <c r="J275" s="1807">
        <v>2000</v>
      </c>
      <c r="K275" s="1807">
        <v>3050</v>
      </c>
      <c r="L275" s="1807" t="s">
        <v>1868</v>
      </c>
      <c r="M275" s="1807" t="s">
        <v>1871</v>
      </c>
      <c r="N275" s="1808" t="s">
        <v>1911</v>
      </c>
      <c r="O275" s="1807" t="s">
        <v>840</v>
      </c>
      <c r="P275" s="1807" t="s">
        <v>1804</v>
      </c>
      <c r="Q275" s="1807"/>
    </row>
    <row r="276" spans="1:17" ht="24.5" thickBot="1">
      <c r="A276" s="1806" t="s">
        <v>1894</v>
      </c>
      <c r="B276" s="1807" t="s">
        <v>1895</v>
      </c>
      <c r="C276" s="1807">
        <v>218</v>
      </c>
      <c r="D276" s="1807" t="s">
        <v>325</v>
      </c>
      <c r="E276" s="1807">
        <v>724413</v>
      </c>
      <c r="F276" s="1807" t="s">
        <v>1899</v>
      </c>
      <c r="G276" s="1807">
        <v>6795</v>
      </c>
      <c r="H276" s="1807" t="s">
        <v>1896</v>
      </c>
      <c r="I276" s="1807">
        <v>2000</v>
      </c>
      <c r="J276" s="1807">
        <v>2000</v>
      </c>
      <c r="K276" s="1807">
        <v>3050</v>
      </c>
      <c r="L276" s="1807" t="s">
        <v>1868</v>
      </c>
      <c r="M276" s="1807" t="s">
        <v>1871</v>
      </c>
      <c r="N276" s="1809">
        <v>81592</v>
      </c>
      <c r="O276" s="1807" t="s">
        <v>840</v>
      </c>
      <c r="P276" s="1807" t="s">
        <v>1804</v>
      </c>
      <c r="Q276" s="1807"/>
    </row>
    <row r="277" spans="1:17" ht="24.5" thickBot="1">
      <c r="A277" s="1806" t="s">
        <v>1894</v>
      </c>
      <c r="B277" s="1807" t="s">
        <v>1895</v>
      </c>
      <c r="C277" s="1807">
        <v>218</v>
      </c>
      <c r="D277" s="1807" t="s">
        <v>325</v>
      </c>
      <c r="E277" s="1807">
        <v>724313</v>
      </c>
      <c r="F277" s="1807" t="s">
        <v>1900</v>
      </c>
      <c r="G277" s="1807">
        <v>6795</v>
      </c>
      <c r="H277" s="1807" t="s">
        <v>1896</v>
      </c>
      <c r="I277" s="1807">
        <v>2000</v>
      </c>
      <c r="J277" s="1807">
        <v>2000</v>
      </c>
      <c r="K277" s="1807">
        <v>3050</v>
      </c>
      <c r="L277" s="1807" t="s">
        <v>1868</v>
      </c>
      <c r="M277" s="1807" t="s">
        <v>1871</v>
      </c>
      <c r="N277" s="1809">
        <v>7049</v>
      </c>
      <c r="O277" s="1807" t="s">
        <v>840</v>
      </c>
      <c r="P277" s="1807" t="s">
        <v>1804</v>
      </c>
      <c r="Q277" s="1807"/>
    </row>
    <row r="278" spans="1:17" ht="16.5" thickBot="1">
      <c r="A278" s="1806" t="s">
        <v>1894</v>
      </c>
      <c r="B278" s="1807" t="s">
        <v>1895</v>
      </c>
      <c r="C278" s="1807">
        <v>218</v>
      </c>
      <c r="D278" s="1807" t="s">
        <v>325</v>
      </c>
      <c r="E278" s="1807">
        <v>723113</v>
      </c>
      <c r="F278" s="1807" t="s">
        <v>1901</v>
      </c>
      <c r="G278" s="1807">
        <v>6795</v>
      </c>
      <c r="H278" s="1807" t="s">
        <v>1896</v>
      </c>
      <c r="I278" s="1807">
        <v>2000</v>
      </c>
      <c r="J278" s="1807">
        <v>2000</v>
      </c>
      <c r="K278" s="1807">
        <v>3050</v>
      </c>
      <c r="L278" s="1807" t="s">
        <v>1868</v>
      </c>
      <c r="M278" s="1807" t="s">
        <v>1871</v>
      </c>
      <c r="N278" s="1809">
        <v>152082</v>
      </c>
      <c r="O278" s="1807" t="s">
        <v>840</v>
      </c>
      <c r="P278" s="1807" t="s">
        <v>1804</v>
      </c>
      <c r="Q278" s="1807"/>
    </row>
    <row r="279" spans="1:17" ht="16.5" thickBot="1">
      <c r="A279" s="1806" t="s">
        <v>1894</v>
      </c>
      <c r="B279" s="1807" t="s">
        <v>1895</v>
      </c>
      <c r="C279" s="1807">
        <v>218</v>
      </c>
      <c r="D279" s="1807" t="s">
        <v>325</v>
      </c>
      <c r="E279" s="1807">
        <v>7225</v>
      </c>
      <c r="F279" s="1807" t="s">
        <v>1870</v>
      </c>
      <c r="G279" s="1807">
        <v>6795</v>
      </c>
      <c r="H279" s="1807" t="s">
        <v>1896</v>
      </c>
      <c r="I279" s="1807">
        <v>2001</v>
      </c>
      <c r="J279" s="1807">
        <v>2001</v>
      </c>
      <c r="K279" s="1807">
        <v>3050</v>
      </c>
      <c r="L279" s="1807" t="s">
        <v>1868</v>
      </c>
      <c r="M279" s="1807" t="s">
        <v>1871</v>
      </c>
      <c r="N279" s="1808" t="s">
        <v>1912</v>
      </c>
      <c r="O279" s="1807" t="s">
        <v>840</v>
      </c>
      <c r="P279" s="1807" t="s">
        <v>1804</v>
      </c>
      <c r="Q279" s="1807"/>
    </row>
    <row r="280" spans="1:17" ht="16.5" thickBot="1">
      <c r="A280" s="1806" t="s">
        <v>1894</v>
      </c>
      <c r="B280" s="1807" t="s">
        <v>1895</v>
      </c>
      <c r="C280" s="1807">
        <v>218</v>
      </c>
      <c r="D280" s="1807" t="s">
        <v>325</v>
      </c>
      <c r="E280" s="1807">
        <v>7230</v>
      </c>
      <c r="F280" s="1807" t="s">
        <v>232</v>
      </c>
      <c r="G280" s="1807">
        <v>6795</v>
      </c>
      <c r="H280" s="1807" t="s">
        <v>1896</v>
      </c>
      <c r="I280" s="1807">
        <v>2001</v>
      </c>
      <c r="J280" s="1807">
        <v>2001</v>
      </c>
      <c r="K280" s="1807">
        <v>3050</v>
      </c>
      <c r="L280" s="1807" t="s">
        <v>1868</v>
      </c>
      <c r="M280" s="1807" t="s">
        <v>1871</v>
      </c>
      <c r="N280" s="1808" t="s">
        <v>1913</v>
      </c>
      <c r="O280" s="1807" t="s">
        <v>840</v>
      </c>
      <c r="P280" s="1807" t="s">
        <v>1804</v>
      </c>
      <c r="Q280" s="1807"/>
    </row>
    <row r="281" spans="1:17" ht="24.5" thickBot="1">
      <c r="A281" s="1806" t="s">
        <v>1894</v>
      </c>
      <c r="B281" s="1807" t="s">
        <v>1895</v>
      </c>
      <c r="C281" s="1807">
        <v>218</v>
      </c>
      <c r="D281" s="1807" t="s">
        <v>325</v>
      </c>
      <c r="E281" s="1807">
        <v>724413</v>
      </c>
      <c r="F281" s="1807" t="s">
        <v>1899</v>
      </c>
      <c r="G281" s="1807">
        <v>6795</v>
      </c>
      <c r="H281" s="1807" t="s">
        <v>1896</v>
      </c>
      <c r="I281" s="1807">
        <v>2001</v>
      </c>
      <c r="J281" s="1807">
        <v>2001</v>
      </c>
      <c r="K281" s="1807">
        <v>3050</v>
      </c>
      <c r="L281" s="1807" t="s">
        <v>1868</v>
      </c>
      <c r="M281" s="1807" t="s">
        <v>1871</v>
      </c>
      <c r="N281" s="1809">
        <v>63168</v>
      </c>
      <c r="O281" s="1807" t="s">
        <v>840</v>
      </c>
      <c r="P281" s="1807" t="s">
        <v>1804</v>
      </c>
      <c r="Q281" s="1807"/>
    </row>
    <row r="282" spans="1:17" ht="24.5" thickBot="1">
      <c r="A282" s="1806" t="s">
        <v>1894</v>
      </c>
      <c r="B282" s="1807" t="s">
        <v>1895</v>
      </c>
      <c r="C282" s="1807">
        <v>218</v>
      </c>
      <c r="D282" s="1807" t="s">
        <v>325</v>
      </c>
      <c r="E282" s="1807">
        <v>724313</v>
      </c>
      <c r="F282" s="1807" t="s">
        <v>1900</v>
      </c>
      <c r="G282" s="1807">
        <v>6795</v>
      </c>
      <c r="H282" s="1807" t="s">
        <v>1896</v>
      </c>
      <c r="I282" s="1807">
        <v>2001</v>
      </c>
      <c r="J282" s="1807">
        <v>2001</v>
      </c>
      <c r="K282" s="1807">
        <v>3050</v>
      </c>
      <c r="L282" s="1807" t="s">
        <v>1868</v>
      </c>
      <c r="M282" s="1807" t="s">
        <v>1871</v>
      </c>
      <c r="N282" s="1809">
        <v>5459</v>
      </c>
      <c r="O282" s="1807" t="s">
        <v>840</v>
      </c>
      <c r="P282" s="1807" t="s">
        <v>1804</v>
      </c>
      <c r="Q282" s="1807"/>
    </row>
    <row r="283" spans="1:17" ht="16.5" thickBot="1">
      <c r="A283" s="1806" t="s">
        <v>1894</v>
      </c>
      <c r="B283" s="1807" t="s">
        <v>1895</v>
      </c>
      <c r="C283" s="1807">
        <v>218</v>
      </c>
      <c r="D283" s="1807" t="s">
        <v>325</v>
      </c>
      <c r="E283" s="1807">
        <v>723113</v>
      </c>
      <c r="F283" s="1807" t="s">
        <v>1901</v>
      </c>
      <c r="G283" s="1807">
        <v>6795</v>
      </c>
      <c r="H283" s="1807" t="s">
        <v>1896</v>
      </c>
      <c r="I283" s="1807">
        <v>2001</v>
      </c>
      <c r="J283" s="1807">
        <v>2001</v>
      </c>
      <c r="K283" s="1807">
        <v>3050</v>
      </c>
      <c r="L283" s="1807" t="s">
        <v>1868</v>
      </c>
      <c r="M283" s="1807" t="s">
        <v>1871</v>
      </c>
      <c r="N283" s="1809">
        <v>117758</v>
      </c>
      <c r="O283" s="1807" t="s">
        <v>840</v>
      </c>
      <c r="P283" s="1807" t="s">
        <v>1804</v>
      </c>
      <c r="Q283" s="1807"/>
    </row>
    <row r="284" spans="1:17" ht="16.5" thickBot="1">
      <c r="A284" s="1806" t="s">
        <v>1894</v>
      </c>
      <c r="B284" s="1807" t="s">
        <v>1895</v>
      </c>
      <c r="C284" s="1807">
        <v>218</v>
      </c>
      <c r="D284" s="1807" t="s">
        <v>325</v>
      </c>
      <c r="E284" s="1807">
        <v>7225</v>
      </c>
      <c r="F284" s="1807" t="s">
        <v>1870</v>
      </c>
      <c r="G284" s="1807">
        <v>6795</v>
      </c>
      <c r="H284" s="1807" t="s">
        <v>1896</v>
      </c>
      <c r="I284" s="1807">
        <v>2002</v>
      </c>
      <c r="J284" s="1807">
        <v>2002</v>
      </c>
      <c r="K284" s="1807">
        <v>3050</v>
      </c>
      <c r="L284" s="1807" t="s">
        <v>1868</v>
      </c>
      <c r="M284" s="1807" t="s">
        <v>1871</v>
      </c>
      <c r="N284" s="1808" t="s">
        <v>1914</v>
      </c>
      <c r="O284" s="1807" t="s">
        <v>840</v>
      </c>
      <c r="P284" s="1807" t="s">
        <v>1804</v>
      </c>
      <c r="Q284" s="1807"/>
    </row>
    <row r="285" spans="1:17" ht="16.5" thickBot="1">
      <c r="A285" s="1806" t="s">
        <v>1894</v>
      </c>
      <c r="B285" s="1807" t="s">
        <v>1895</v>
      </c>
      <c r="C285" s="1807">
        <v>218</v>
      </c>
      <c r="D285" s="1807" t="s">
        <v>325</v>
      </c>
      <c r="E285" s="1807">
        <v>7230</v>
      </c>
      <c r="F285" s="1807" t="s">
        <v>232</v>
      </c>
      <c r="G285" s="1807">
        <v>6795</v>
      </c>
      <c r="H285" s="1807" t="s">
        <v>1896</v>
      </c>
      <c r="I285" s="1807">
        <v>2002</v>
      </c>
      <c r="J285" s="1807">
        <v>2002</v>
      </c>
      <c r="K285" s="1807">
        <v>3050</v>
      </c>
      <c r="L285" s="1807" t="s">
        <v>1868</v>
      </c>
      <c r="M285" s="1807" t="s">
        <v>1871</v>
      </c>
      <c r="N285" s="1808" t="s">
        <v>1915</v>
      </c>
      <c r="O285" s="1807" t="s">
        <v>840</v>
      </c>
      <c r="P285" s="1807" t="s">
        <v>1804</v>
      </c>
      <c r="Q285" s="1807"/>
    </row>
    <row r="286" spans="1:17" ht="24.5" thickBot="1">
      <c r="A286" s="1806" t="s">
        <v>1894</v>
      </c>
      <c r="B286" s="1807" t="s">
        <v>1895</v>
      </c>
      <c r="C286" s="1807">
        <v>218</v>
      </c>
      <c r="D286" s="1807" t="s">
        <v>325</v>
      </c>
      <c r="E286" s="1807">
        <v>724413</v>
      </c>
      <c r="F286" s="1807" t="s">
        <v>1899</v>
      </c>
      <c r="G286" s="1807">
        <v>6795</v>
      </c>
      <c r="H286" s="1807" t="s">
        <v>1896</v>
      </c>
      <c r="I286" s="1807">
        <v>2002</v>
      </c>
      <c r="J286" s="1807">
        <v>2002</v>
      </c>
      <c r="K286" s="1807">
        <v>3050</v>
      </c>
      <c r="L286" s="1807" t="s">
        <v>1868</v>
      </c>
      <c r="M286" s="1807" t="s">
        <v>1871</v>
      </c>
      <c r="N286" s="1809">
        <v>14392</v>
      </c>
      <c r="O286" s="1807" t="s">
        <v>840</v>
      </c>
      <c r="P286" s="1807" t="s">
        <v>1804</v>
      </c>
      <c r="Q286" s="1807"/>
    </row>
    <row r="287" spans="1:17" ht="24.5" thickBot="1">
      <c r="A287" s="1806" t="s">
        <v>1894</v>
      </c>
      <c r="B287" s="1807" t="s">
        <v>1895</v>
      </c>
      <c r="C287" s="1807">
        <v>218</v>
      </c>
      <c r="D287" s="1807" t="s">
        <v>325</v>
      </c>
      <c r="E287" s="1807">
        <v>724313</v>
      </c>
      <c r="F287" s="1807" t="s">
        <v>1900</v>
      </c>
      <c r="G287" s="1807">
        <v>6795</v>
      </c>
      <c r="H287" s="1807" t="s">
        <v>1896</v>
      </c>
      <c r="I287" s="1807">
        <v>2002</v>
      </c>
      <c r="J287" s="1807">
        <v>2002</v>
      </c>
      <c r="K287" s="1807">
        <v>3050</v>
      </c>
      <c r="L287" s="1807" t="s">
        <v>1868</v>
      </c>
      <c r="M287" s="1807" t="s">
        <v>1871</v>
      </c>
      <c r="N287" s="1809">
        <v>12455</v>
      </c>
      <c r="O287" s="1807" t="s">
        <v>840</v>
      </c>
      <c r="P287" s="1807" t="s">
        <v>1804</v>
      </c>
      <c r="Q287" s="1807"/>
    </row>
    <row r="288" spans="1:17" ht="16.5" thickBot="1">
      <c r="A288" s="1806" t="s">
        <v>1894</v>
      </c>
      <c r="B288" s="1807" t="s">
        <v>1895</v>
      </c>
      <c r="C288" s="1807">
        <v>218</v>
      </c>
      <c r="D288" s="1807" t="s">
        <v>325</v>
      </c>
      <c r="E288" s="1807">
        <v>723113</v>
      </c>
      <c r="F288" s="1807" t="s">
        <v>1901</v>
      </c>
      <c r="G288" s="1807">
        <v>6795</v>
      </c>
      <c r="H288" s="1807" t="s">
        <v>1896</v>
      </c>
      <c r="I288" s="1807">
        <v>2002</v>
      </c>
      <c r="J288" s="1807">
        <v>2002</v>
      </c>
      <c r="K288" s="1807">
        <v>3050</v>
      </c>
      <c r="L288" s="1807" t="s">
        <v>1868</v>
      </c>
      <c r="M288" s="1807" t="s">
        <v>1871</v>
      </c>
      <c r="N288" s="1809">
        <v>26847</v>
      </c>
      <c r="O288" s="1807" t="s">
        <v>840</v>
      </c>
      <c r="P288" s="1807" t="s">
        <v>1804</v>
      </c>
      <c r="Q288" s="1807"/>
    </row>
    <row r="289" spans="1:17" ht="16.5" thickBot="1">
      <c r="A289" s="1806" t="s">
        <v>1894</v>
      </c>
      <c r="B289" s="1807" t="s">
        <v>1895</v>
      </c>
      <c r="C289" s="1807">
        <v>218</v>
      </c>
      <c r="D289" s="1807" t="s">
        <v>325</v>
      </c>
      <c r="E289" s="1807">
        <v>7225</v>
      </c>
      <c r="F289" s="1807" t="s">
        <v>1870</v>
      </c>
      <c r="G289" s="1807">
        <v>6795</v>
      </c>
      <c r="H289" s="1807" t="s">
        <v>1896</v>
      </c>
      <c r="I289" s="1807">
        <v>2003</v>
      </c>
      <c r="J289" s="1807">
        <v>2003</v>
      </c>
      <c r="K289" s="1807">
        <v>3050</v>
      </c>
      <c r="L289" s="1807" t="s">
        <v>1868</v>
      </c>
      <c r="M289" s="1807" t="s">
        <v>1871</v>
      </c>
      <c r="N289" s="1808" t="s">
        <v>1916</v>
      </c>
      <c r="O289" s="1807" t="s">
        <v>840</v>
      </c>
      <c r="P289" s="1807" t="s">
        <v>1804</v>
      </c>
      <c r="Q289" s="1807"/>
    </row>
    <row r="290" spans="1:17" ht="16.5" thickBot="1">
      <c r="A290" s="1806" t="s">
        <v>1894</v>
      </c>
      <c r="B290" s="1807" t="s">
        <v>1895</v>
      </c>
      <c r="C290" s="1807">
        <v>218</v>
      </c>
      <c r="D290" s="1807" t="s">
        <v>325</v>
      </c>
      <c r="E290" s="1807">
        <v>7230</v>
      </c>
      <c r="F290" s="1807" t="s">
        <v>232</v>
      </c>
      <c r="G290" s="1807">
        <v>6795</v>
      </c>
      <c r="H290" s="1807" t="s">
        <v>1896</v>
      </c>
      <c r="I290" s="1807">
        <v>2003</v>
      </c>
      <c r="J290" s="1807">
        <v>2003</v>
      </c>
      <c r="K290" s="1807">
        <v>3050</v>
      </c>
      <c r="L290" s="1807" t="s">
        <v>1868</v>
      </c>
      <c r="M290" s="1807" t="s">
        <v>1871</v>
      </c>
      <c r="N290" s="1808" t="s">
        <v>1917</v>
      </c>
      <c r="O290" s="1807" t="s">
        <v>840</v>
      </c>
      <c r="P290" s="1807" t="s">
        <v>1804</v>
      </c>
      <c r="Q290" s="1807"/>
    </row>
    <row r="291" spans="1:17" ht="24.5" thickBot="1">
      <c r="A291" s="1806" t="s">
        <v>1894</v>
      </c>
      <c r="B291" s="1807" t="s">
        <v>1895</v>
      </c>
      <c r="C291" s="1807">
        <v>218</v>
      </c>
      <c r="D291" s="1807" t="s">
        <v>325</v>
      </c>
      <c r="E291" s="1807">
        <v>724413</v>
      </c>
      <c r="F291" s="1807" t="s">
        <v>1899</v>
      </c>
      <c r="G291" s="1807">
        <v>6795</v>
      </c>
      <c r="H291" s="1807" t="s">
        <v>1896</v>
      </c>
      <c r="I291" s="1807">
        <v>2003</v>
      </c>
      <c r="J291" s="1807">
        <v>2003</v>
      </c>
      <c r="K291" s="1807">
        <v>3050</v>
      </c>
      <c r="L291" s="1807" t="s">
        <v>1868</v>
      </c>
      <c r="M291" s="1807" t="s">
        <v>1871</v>
      </c>
      <c r="N291" s="1809">
        <v>59136</v>
      </c>
      <c r="O291" s="1807" t="s">
        <v>840</v>
      </c>
      <c r="P291" s="1807" t="s">
        <v>1804</v>
      </c>
      <c r="Q291" s="1807"/>
    </row>
    <row r="292" spans="1:17" ht="24.5" thickBot="1">
      <c r="A292" s="1806" t="s">
        <v>1894</v>
      </c>
      <c r="B292" s="1807" t="s">
        <v>1895</v>
      </c>
      <c r="C292" s="1807">
        <v>218</v>
      </c>
      <c r="D292" s="1807" t="s">
        <v>325</v>
      </c>
      <c r="E292" s="1807">
        <v>724313</v>
      </c>
      <c r="F292" s="1807" t="s">
        <v>1900</v>
      </c>
      <c r="G292" s="1807">
        <v>6795</v>
      </c>
      <c r="H292" s="1807" t="s">
        <v>1896</v>
      </c>
      <c r="I292" s="1807">
        <v>2003</v>
      </c>
      <c r="J292" s="1807">
        <v>2003</v>
      </c>
      <c r="K292" s="1807">
        <v>3050</v>
      </c>
      <c r="L292" s="1807" t="s">
        <v>1868</v>
      </c>
      <c r="M292" s="1807" t="s">
        <v>1871</v>
      </c>
      <c r="N292" s="1809">
        <v>51145</v>
      </c>
      <c r="O292" s="1807" t="s">
        <v>840</v>
      </c>
      <c r="P292" s="1807" t="s">
        <v>1804</v>
      </c>
      <c r="Q292" s="1807"/>
    </row>
    <row r="293" spans="1:17" ht="16.5" thickBot="1">
      <c r="A293" s="1806" t="s">
        <v>1894</v>
      </c>
      <c r="B293" s="1807" t="s">
        <v>1895</v>
      </c>
      <c r="C293" s="1807">
        <v>218</v>
      </c>
      <c r="D293" s="1807" t="s">
        <v>325</v>
      </c>
      <c r="E293" s="1807">
        <v>723113</v>
      </c>
      <c r="F293" s="1807" t="s">
        <v>1901</v>
      </c>
      <c r="G293" s="1807">
        <v>6795</v>
      </c>
      <c r="H293" s="1807" t="s">
        <v>1896</v>
      </c>
      <c r="I293" s="1807">
        <v>2003</v>
      </c>
      <c r="J293" s="1807">
        <v>2003</v>
      </c>
      <c r="K293" s="1807">
        <v>3050</v>
      </c>
      <c r="L293" s="1807" t="s">
        <v>1868</v>
      </c>
      <c r="M293" s="1807" t="s">
        <v>1871</v>
      </c>
      <c r="N293" s="1809">
        <v>110281</v>
      </c>
      <c r="O293" s="1807" t="s">
        <v>840</v>
      </c>
      <c r="P293" s="1807" t="s">
        <v>1804</v>
      </c>
      <c r="Q293" s="1807"/>
    </row>
    <row r="294" spans="1:17" ht="16.5" thickBot="1">
      <c r="A294" s="1806" t="s">
        <v>1894</v>
      </c>
      <c r="B294" s="1807" t="s">
        <v>1895</v>
      </c>
      <c r="C294" s="1807">
        <v>218</v>
      </c>
      <c r="D294" s="1807" t="s">
        <v>325</v>
      </c>
      <c r="E294" s="1807">
        <v>7225</v>
      </c>
      <c r="F294" s="1807" t="s">
        <v>1870</v>
      </c>
      <c r="G294" s="1807">
        <v>6795</v>
      </c>
      <c r="H294" s="1807" t="s">
        <v>1896</v>
      </c>
      <c r="I294" s="1807">
        <v>2004</v>
      </c>
      <c r="J294" s="1807">
        <v>2004</v>
      </c>
      <c r="K294" s="1807">
        <v>3050</v>
      </c>
      <c r="L294" s="1807" t="s">
        <v>1868</v>
      </c>
      <c r="M294" s="1807" t="s">
        <v>1871</v>
      </c>
      <c r="N294" s="1808" t="s">
        <v>1918</v>
      </c>
      <c r="O294" s="1807" t="s">
        <v>840</v>
      </c>
      <c r="P294" s="1807" t="s">
        <v>1804</v>
      </c>
      <c r="Q294" s="1807"/>
    </row>
    <row r="295" spans="1:17" ht="16.5" thickBot="1">
      <c r="A295" s="1806" t="s">
        <v>1894</v>
      </c>
      <c r="B295" s="1807" t="s">
        <v>1895</v>
      </c>
      <c r="C295" s="1807">
        <v>218</v>
      </c>
      <c r="D295" s="1807" t="s">
        <v>325</v>
      </c>
      <c r="E295" s="1807">
        <v>7230</v>
      </c>
      <c r="F295" s="1807" t="s">
        <v>232</v>
      </c>
      <c r="G295" s="1807">
        <v>6795</v>
      </c>
      <c r="H295" s="1807" t="s">
        <v>1896</v>
      </c>
      <c r="I295" s="1807">
        <v>2004</v>
      </c>
      <c r="J295" s="1807">
        <v>2004</v>
      </c>
      <c r="K295" s="1807">
        <v>3050</v>
      </c>
      <c r="L295" s="1807" t="s">
        <v>1868</v>
      </c>
      <c r="M295" s="1807" t="s">
        <v>1871</v>
      </c>
      <c r="N295" s="1808" t="s">
        <v>1919</v>
      </c>
      <c r="O295" s="1807" t="s">
        <v>840</v>
      </c>
      <c r="P295" s="1807" t="s">
        <v>1804</v>
      </c>
      <c r="Q295" s="1807"/>
    </row>
    <row r="296" spans="1:17" ht="24.5" thickBot="1">
      <c r="A296" s="1806" t="s">
        <v>1894</v>
      </c>
      <c r="B296" s="1807" t="s">
        <v>1895</v>
      </c>
      <c r="C296" s="1807">
        <v>218</v>
      </c>
      <c r="D296" s="1807" t="s">
        <v>325</v>
      </c>
      <c r="E296" s="1807">
        <v>724413</v>
      </c>
      <c r="F296" s="1807" t="s">
        <v>1899</v>
      </c>
      <c r="G296" s="1807">
        <v>6795</v>
      </c>
      <c r="H296" s="1807" t="s">
        <v>1896</v>
      </c>
      <c r="I296" s="1807">
        <v>2004</v>
      </c>
      <c r="J296" s="1807">
        <v>2004</v>
      </c>
      <c r="K296" s="1807">
        <v>3050</v>
      </c>
      <c r="L296" s="1807" t="s">
        <v>1868</v>
      </c>
      <c r="M296" s="1807" t="s">
        <v>1871</v>
      </c>
      <c r="N296" s="1809">
        <v>6846</v>
      </c>
      <c r="O296" s="1807" t="s">
        <v>840</v>
      </c>
      <c r="P296" s="1807" t="s">
        <v>1804</v>
      </c>
      <c r="Q296" s="1807"/>
    </row>
    <row r="297" spans="1:17" ht="24.5" thickBot="1">
      <c r="A297" s="1806" t="s">
        <v>1894</v>
      </c>
      <c r="B297" s="1807" t="s">
        <v>1895</v>
      </c>
      <c r="C297" s="1807">
        <v>218</v>
      </c>
      <c r="D297" s="1807" t="s">
        <v>325</v>
      </c>
      <c r="E297" s="1807">
        <v>724313</v>
      </c>
      <c r="F297" s="1807" t="s">
        <v>1900</v>
      </c>
      <c r="G297" s="1807">
        <v>6795</v>
      </c>
      <c r="H297" s="1807" t="s">
        <v>1896</v>
      </c>
      <c r="I297" s="1807">
        <v>2004</v>
      </c>
      <c r="J297" s="1807">
        <v>2004</v>
      </c>
      <c r="K297" s="1807">
        <v>3050</v>
      </c>
      <c r="L297" s="1807" t="s">
        <v>1868</v>
      </c>
      <c r="M297" s="1807" t="s">
        <v>1871</v>
      </c>
      <c r="N297" s="1809">
        <v>59095</v>
      </c>
      <c r="O297" s="1807" t="s">
        <v>840</v>
      </c>
      <c r="P297" s="1807" t="s">
        <v>1804</v>
      </c>
      <c r="Q297" s="1807"/>
    </row>
    <row r="298" spans="1:17" ht="16.5" thickBot="1">
      <c r="A298" s="1806" t="s">
        <v>1894</v>
      </c>
      <c r="B298" s="1807" t="s">
        <v>1895</v>
      </c>
      <c r="C298" s="1807">
        <v>218</v>
      </c>
      <c r="D298" s="1807" t="s">
        <v>325</v>
      </c>
      <c r="E298" s="1807">
        <v>723113</v>
      </c>
      <c r="F298" s="1807" t="s">
        <v>1901</v>
      </c>
      <c r="G298" s="1807">
        <v>6795</v>
      </c>
      <c r="H298" s="1807" t="s">
        <v>1896</v>
      </c>
      <c r="I298" s="1807">
        <v>2004</v>
      </c>
      <c r="J298" s="1807">
        <v>2004</v>
      </c>
      <c r="K298" s="1807">
        <v>3050</v>
      </c>
      <c r="L298" s="1807" t="s">
        <v>1868</v>
      </c>
      <c r="M298" s="1807" t="s">
        <v>1871</v>
      </c>
      <c r="N298" s="1809">
        <v>127555</v>
      </c>
      <c r="O298" s="1807" t="s">
        <v>840</v>
      </c>
      <c r="P298" s="1807" t="s">
        <v>1804</v>
      </c>
      <c r="Q298" s="1807"/>
    </row>
    <row r="299" spans="1:17" ht="16.5" thickBot="1">
      <c r="A299" s="1806" t="s">
        <v>1894</v>
      </c>
      <c r="B299" s="1807" t="s">
        <v>1895</v>
      </c>
      <c r="C299" s="1807">
        <v>218</v>
      </c>
      <c r="D299" s="1807" t="s">
        <v>325</v>
      </c>
      <c r="E299" s="1807">
        <v>7225</v>
      </c>
      <c r="F299" s="1807" t="s">
        <v>1870</v>
      </c>
      <c r="G299" s="1807">
        <v>6795</v>
      </c>
      <c r="H299" s="1807" t="s">
        <v>1896</v>
      </c>
      <c r="I299" s="1807">
        <v>2005</v>
      </c>
      <c r="J299" s="1807">
        <v>2005</v>
      </c>
      <c r="K299" s="1807">
        <v>3050</v>
      </c>
      <c r="L299" s="1807" t="s">
        <v>1868</v>
      </c>
      <c r="M299" s="1807" t="s">
        <v>1871</v>
      </c>
      <c r="N299" s="1808" t="s">
        <v>1920</v>
      </c>
      <c r="O299" s="1807" t="s">
        <v>840</v>
      </c>
      <c r="P299" s="1807" t="s">
        <v>1804</v>
      </c>
      <c r="Q299" s="1807"/>
    </row>
    <row r="300" spans="1:17" ht="16.5" thickBot="1">
      <c r="A300" s="1806" t="s">
        <v>1894</v>
      </c>
      <c r="B300" s="1807" t="s">
        <v>1895</v>
      </c>
      <c r="C300" s="1807">
        <v>218</v>
      </c>
      <c r="D300" s="1807" t="s">
        <v>325</v>
      </c>
      <c r="E300" s="1807">
        <v>7230</v>
      </c>
      <c r="F300" s="1807" t="s">
        <v>232</v>
      </c>
      <c r="G300" s="1807">
        <v>6795</v>
      </c>
      <c r="H300" s="1807" t="s">
        <v>1896</v>
      </c>
      <c r="I300" s="1807">
        <v>2005</v>
      </c>
      <c r="J300" s="1807">
        <v>2005</v>
      </c>
      <c r="K300" s="1807">
        <v>3050</v>
      </c>
      <c r="L300" s="1807" t="s">
        <v>1868</v>
      </c>
      <c r="M300" s="1807" t="s">
        <v>1871</v>
      </c>
      <c r="N300" s="1808" t="s">
        <v>1921</v>
      </c>
      <c r="O300" s="1807" t="s">
        <v>840</v>
      </c>
      <c r="P300" s="1807" t="s">
        <v>1804</v>
      </c>
      <c r="Q300" s="1807"/>
    </row>
    <row r="301" spans="1:17" ht="24.5" thickBot="1">
      <c r="A301" s="1806" t="s">
        <v>1894</v>
      </c>
      <c r="B301" s="1807" t="s">
        <v>1895</v>
      </c>
      <c r="C301" s="1807">
        <v>218</v>
      </c>
      <c r="D301" s="1807" t="s">
        <v>325</v>
      </c>
      <c r="E301" s="1807">
        <v>724413</v>
      </c>
      <c r="F301" s="1807" t="s">
        <v>1899</v>
      </c>
      <c r="G301" s="1807">
        <v>6795</v>
      </c>
      <c r="H301" s="1807" t="s">
        <v>1896</v>
      </c>
      <c r="I301" s="1807">
        <v>2005</v>
      </c>
      <c r="J301" s="1807">
        <v>2005</v>
      </c>
      <c r="K301" s="1807">
        <v>3050</v>
      </c>
      <c r="L301" s="1807" t="s">
        <v>1868</v>
      </c>
      <c r="M301" s="1807" t="s">
        <v>1871</v>
      </c>
      <c r="N301" s="1809">
        <v>144004</v>
      </c>
      <c r="O301" s="1807" t="s">
        <v>840</v>
      </c>
      <c r="P301" s="1807" t="s">
        <v>1804</v>
      </c>
      <c r="Q301" s="1807"/>
    </row>
    <row r="302" spans="1:17" ht="24.5" thickBot="1">
      <c r="A302" s="1806" t="s">
        <v>1894</v>
      </c>
      <c r="B302" s="1807" t="s">
        <v>1895</v>
      </c>
      <c r="C302" s="1807">
        <v>218</v>
      </c>
      <c r="D302" s="1807" t="s">
        <v>325</v>
      </c>
      <c r="E302" s="1807">
        <v>724313</v>
      </c>
      <c r="F302" s="1807" t="s">
        <v>1900</v>
      </c>
      <c r="G302" s="1807">
        <v>6795</v>
      </c>
      <c r="H302" s="1807" t="s">
        <v>1896</v>
      </c>
      <c r="I302" s="1807">
        <v>2005</v>
      </c>
      <c r="J302" s="1807">
        <v>2005</v>
      </c>
      <c r="K302" s="1807">
        <v>3050</v>
      </c>
      <c r="L302" s="1807" t="s">
        <v>1868</v>
      </c>
      <c r="M302" s="1807" t="s">
        <v>1871</v>
      </c>
      <c r="N302" s="1809">
        <v>12455</v>
      </c>
      <c r="O302" s="1807" t="s">
        <v>840</v>
      </c>
      <c r="P302" s="1807" t="s">
        <v>1804</v>
      </c>
      <c r="Q302" s="1807"/>
    </row>
    <row r="303" spans="1:17" ht="16.5" thickBot="1">
      <c r="A303" s="1806" t="s">
        <v>1894</v>
      </c>
      <c r="B303" s="1807" t="s">
        <v>1895</v>
      </c>
      <c r="C303" s="1807">
        <v>218</v>
      </c>
      <c r="D303" s="1807" t="s">
        <v>325</v>
      </c>
      <c r="E303" s="1807">
        <v>723113</v>
      </c>
      <c r="F303" s="1807" t="s">
        <v>1901</v>
      </c>
      <c r="G303" s="1807">
        <v>6795</v>
      </c>
      <c r="H303" s="1807" t="s">
        <v>1896</v>
      </c>
      <c r="I303" s="1807">
        <v>2005</v>
      </c>
      <c r="J303" s="1807">
        <v>2005</v>
      </c>
      <c r="K303" s="1807">
        <v>3050</v>
      </c>
      <c r="L303" s="1807" t="s">
        <v>1868</v>
      </c>
      <c r="M303" s="1807" t="s">
        <v>1871</v>
      </c>
      <c r="N303" s="1809">
        <v>268554</v>
      </c>
      <c r="O303" s="1807" t="s">
        <v>840</v>
      </c>
      <c r="P303" s="1807" t="s">
        <v>1804</v>
      </c>
      <c r="Q303" s="1807"/>
    </row>
    <row r="304" spans="1:17" ht="16.5" thickBot="1">
      <c r="A304" s="1806" t="s">
        <v>1894</v>
      </c>
      <c r="B304" s="1807" t="s">
        <v>1895</v>
      </c>
      <c r="C304" s="1807">
        <v>218</v>
      </c>
      <c r="D304" s="1807" t="s">
        <v>325</v>
      </c>
      <c r="E304" s="1807">
        <v>7225</v>
      </c>
      <c r="F304" s="1807" t="s">
        <v>1870</v>
      </c>
      <c r="G304" s="1807">
        <v>6795</v>
      </c>
      <c r="H304" s="1807" t="s">
        <v>1896</v>
      </c>
      <c r="I304" s="1807">
        <v>2006</v>
      </c>
      <c r="J304" s="1807">
        <v>2006</v>
      </c>
      <c r="K304" s="1807">
        <v>3050</v>
      </c>
      <c r="L304" s="1807" t="s">
        <v>1868</v>
      </c>
      <c r="M304" s="1807" t="s">
        <v>1871</v>
      </c>
      <c r="N304" s="1808" t="s">
        <v>1922</v>
      </c>
      <c r="O304" s="1807" t="s">
        <v>840</v>
      </c>
      <c r="P304" s="1807" t="s">
        <v>1804</v>
      </c>
      <c r="Q304" s="1807"/>
    </row>
    <row r="305" spans="1:17" ht="16.5" thickBot="1">
      <c r="A305" s="1806" t="s">
        <v>1894</v>
      </c>
      <c r="B305" s="1807" t="s">
        <v>1895</v>
      </c>
      <c r="C305" s="1807">
        <v>218</v>
      </c>
      <c r="D305" s="1807" t="s">
        <v>325</v>
      </c>
      <c r="E305" s="1807">
        <v>7230</v>
      </c>
      <c r="F305" s="1807" t="s">
        <v>232</v>
      </c>
      <c r="G305" s="1807">
        <v>6795</v>
      </c>
      <c r="H305" s="1807" t="s">
        <v>1896</v>
      </c>
      <c r="I305" s="1807">
        <v>2006</v>
      </c>
      <c r="J305" s="1807">
        <v>2006</v>
      </c>
      <c r="K305" s="1807">
        <v>3050</v>
      </c>
      <c r="L305" s="1807" t="s">
        <v>1868</v>
      </c>
      <c r="M305" s="1807" t="s">
        <v>1871</v>
      </c>
      <c r="N305" s="1808" t="s">
        <v>1923</v>
      </c>
      <c r="O305" s="1807" t="s">
        <v>840</v>
      </c>
      <c r="P305" s="1807" t="s">
        <v>1804</v>
      </c>
      <c r="Q305" s="1807"/>
    </row>
    <row r="306" spans="1:17" ht="24.5" thickBot="1">
      <c r="A306" s="1806" t="s">
        <v>1894</v>
      </c>
      <c r="B306" s="1807" t="s">
        <v>1895</v>
      </c>
      <c r="C306" s="1807">
        <v>218</v>
      </c>
      <c r="D306" s="1807" t="s">
        <v>325</v>
      </c>
      <c r="E306" s="1807">
        <v>724413</v>
      </c>
      <c r="F306" s="1807" t="s">
        <v>1899</v>
      </c>
      <c r="G306" s="1807">
        <v>6795</v>
      </c>
      <c r="H306" s="1807" t="s">
        <v>1896</v>
      </c>
      <c r="I306" s="1807">
        <v>2006</v>
      </c>
      <c r="J306" s="1807">
        <v>2006</v>
      </c>
      <c r="K306" s="1807">
        <v>3050</v>
      </c>
      <c r="L306" s="1807" t="s">
        <v>1868</v>
      </c>
      <c r="M306" s="1807" t="s">
        <v>1871</v>
      </c>
      <c r="N306" s="1809">
        <v>72212</v>
      </c>
      <c r="O306" s="1807" t="s">
        <v>840</v>
      </c>
      <c r="P306" s="1807" t="s">
        <v>1804</v>
      </c>
      <c r="Q306" s="1807"/>
    </row>
    <row r="307" spans="1:17" ht="24.5" thickBot="1">
      <c r="A307" s="1806" t="s">
        <v>1894</v>
      </c>
      <c r="B307" s="1807" t="s">
        <v>1895</v>
      </c>
      <c r="C307" s="1807">
        <v>218</v>
      </c>
      <c r="D307" s="1807" t="s">
        <v>325</v>
      </c>
      <c r="E307" s="1807">
        <v>724313</v>
      </c>
      <c r="F307" s="1807" t="s">
        <v>1900</v>
      </c>
      <c r="G307" s="1807">
        <v>6795</v>
      </c>
      <c r="H307" s="1807" t="s">
        <v>1896</v>
      </c>
      <c r="I307" s="1807">
        <v>2006</v>
      </c>
      <c r="J307" s="1807">
        <v>2006</v>
      </c>
      <c r="K307" s="1807">
        <v>3050</v>
      </c>
      <c r="L307" s="1807" t="s">
        <v>1868</v>
      </c>
      <c r="M307" s="1807" t="s">
        <v>1871</v>
      </c>
      <c r="N307" s="1809">
        <v>62275</v>
      </c>
      <c r="O307" s="1807" t="s">
        <v>840</v>
      </c>
      <c r="P307" s="1807" t="s">
        <v>1804</v>
      </c>
      <c r="Q307" s="1807"/>
    </row>
    <row r="308" spans="1:17" ht="16.5" thickBot="1">
      <c r="A308" s="1806" t="s">
        <v>1894</v>
      </c>
      <c r="B308" s="1807" t="s">
        <v>1895</v>
      </c>
      <c r="C308" s="1807">
        <v>218</v>
      </c>
      <c r="D308" s="1807" t="s">
        <v>325</v>
      </c>
      <c r="E308" s="1807">
        <v>723113</v>
      </c>
      <c r="F308" s="1807" t="s">
        <v>1901</v>
      </c>
      <c r="G308" s="1807">
        <v>6795</v>
      </c>
      <c r="H308" s="1807" t="s">
        <v>1896</v>
      </c>
      <c r="I308" s="1807">
        <v>2006</v>
      </c>
      <c r="J308" s="1807">
        <v>2006</v>
      </c>
      <c r="K308" s="1807">
        <v>3050</v>
      </c>
      <c r="L308" s="1807" t="s">
        <v>1868</v>
      </c>
      <c r="M308" s="1807" t="s">
        <v>1871</v>
      </c>
      <c r="N308" s="1809">
        <v>134487</v>
      </c>
      <c r="O308" s="1807" t="s">
        <v>840</v>
      </c>
      <c r="P308" s="1807" t="s">
        <v>1804</v>
      </c>
      <c r="Q308" s="1807"/>
    </row>
    <row r="309" spans="1:17" ht="16.5" thickBot="1">
      <c r="A309" s="1806" t="s">
        <v>1894</v>
      </c>
      <c r="B309" s="1807" t="s">
        <v>1895</v>
      </c>
      <c r="C309" s="1807">
        <v>218</v>
      </c>
      <c r="D309" s="1807" t="s">
        <v>325</v>
      </c>
      <c r="E309" s="1807">
        <v>7225</v>
      </c>
      <c r="F309" s="1807" t="s">
        <v>1870</v>
      </c>
      <c r="G309" s="1807">
        <v>6795</v>
      </c>
      <c r="H309" s="1807" t="s">
        <v>1896</v>
      </c>
      <c r="I309" s="1807">
        <v>2007</v>
      </c>
      <c r="J309" s="1807">
        <v>2007</v>
      </c>
      <c r="K309" s="1807">
        <v>3050</v>
      </c>
      <c r="L309" s="1807" t="s">
        <v>1868</v>
      </c>
      <c r="M309" s="1807" t="s">
        <v>1871</v>
      </c>
      <c r="N309" s="1808" t="s">
        <v>1924</v>
      </c>
      <c r="O309" s="1807" t="s">
        <v>840</v>
      </c>
      <c r="P309" s="1807" t="s">
        <v>1804</v>
      </c>
      <c r="Q309" s="1807"/>
    </row>
    <row r="310" spans="1:17" ht="16.5" thickBot="1">
      <c r="A310" s="1806" t="s">
        <v>1894</v>
      </c>
      <c r="B310" s="1807" t="s">
        <v>1895</v>
      </c>
      <c r="C310" s="1807">
        <v>218</v>
      </c>
      <c r="D310" s="1807" t="s">
        <v>325</v>
      </c>
      <c r="E310" s="1807">
        <v>7230</v>
      </c>
      <c r="F310" s="1807" t="s">
        <v>232</v>
      </c>
      <c r="G310" s="1807">
        <v>6795</v>
      </c>
      <c r="H310" s="1807" t="s">
        <v>1896</v>
      </c>
      <c r="I310" s="1807">
        <v>2007</v>
      </c>
      <c r="J310" s="1807">
        <v>2007</v>
      </c>
      <c r="K310" s="1807">
        <v>3050</v>
      </c>
      <c r="L310" s="1807" t="s">
        <v>1868</v>
      </c>
      <c r="M310" s="1807" t="s">
        <v>1871</v>
      </c>
      <c r="N310" s="1808" t="s">
        <v>1911</v>
      </c>
      <c r="O310" s="1807" t="s">
        <v>840</v>
      </c>
      <c r="P310" s="1807" t="s">
        <v>1804</v>
      </c>
      <c r="Q310" s="1807"/>
    </row>
    <row r="311" spans="1:17" ht="24.5" thickBot="1">
      <c r="A311" s="1806" t="s">
        <v>1894</v>
      </c>
      <c r="B311" s="1807" t="s">
        <v>1895</v>
      </c>
      <c r="C311" s="1807">
        <v>218</v>
      </c>
      <c r="D311" s="1807" t="s">
        <v>325</v>
      </c>
      <c r="E311" s="1807">
        <v>724413</v>
      </c>
      <c r="F311" s="1807" t="s">
        <v>1899</v>
      </c>
      <c r="G311" s="1807">
        <v>6795</v>
      </c>
      <c r="H311" s="1807" t="s">
        <v>1896</v>
      </c>
      <c r="I311" s="1807">
        <v>2007</v>
      </c>
      <c r="J311" s="1807">
        <v>2007</v>
      </c>
      <c r="K311" s="1807">
        <v>3050</v>
      </c>
      <c r="L311" s="1807" t="s">
        <v>1868</v>
      </c>
      <c r="M311" s="1807" t="s">
        <v>1871</v>
      </c>
      <c r="N311" s="1809">
        <v>81704</v>
      </c>
      <c r="O311" s="1807" t="s">
        <v>840</v>
      </c>
      <c r="P311" s="1807" t="s">
        <v>1804</v>
      </c>
      <c r="Q311" s="1807"/>
    </row>
    <row r="312" spans="1:17" ht="24.5" thickBot="1">
      <c r="A312" s="1806" t="s">
        <v>1894</v>
      </c>
      <c r="B312" s="1807" t="s">
        <v>1895</v>
      </c>
      <c r="C312" s="1807">
        <v>218</v>
      </c>
      <c r="D312" s="1807" t="s">
        <v>325</v>
      </c>
      <c r="E312" s="1807">
        <v>724313</v>
      </c>
      <c r="F312" s="1807" t="s">
        <v>1900</v>
      </c>
      <c r="G312" s="1807">
        <v>6795</v>
      </c>
      <c r="H312" s="1807" t="s">
        <v>1896</v>
      </c>
      <c r="I312" s="1807">
        <v>2007</v>
      </c>
      <c r="J312" s="1807">
        <v>2007</v>
      </c>
      <c r="K312" s="1807">
        <v>3050</v>
      </c>
      <c r="L312" s="1807" t="s">
        <v>1868</v>
      </c>
      <c r="M312" s="1807" t="s">
        <v>1871</v>
      </c>
      <c r="N312" s="1809">
        <v>7049</v>
      </c>
      <c r="O312" s="1807" t="s">
        <v>840</v>
      </c>
      <c r="P312" s="1807" t="s">
        <v>1804</v>
      </c>
      <c r="Q312" s="1807"/>
    </row>
    <row r="313" spans="1:17" ht="16.5" thickBot="1">
      <c r="A313" s="1806" t="s">
        <v>1894</v>
      </c>
      <c r="B313" s="1807" t="s">
        <v>1895</v>
      </c>
      <c r="C313" s="1807">
        <v>218</v>
      </c>
      <c r="D313" s="1807" t="s">
        <v>325</v>
      </c>
      <c r="E313" s="1807">
        <v>723113</v>
      </c>
      <c r="F313" s="1807" t="s">
        <v>1901</v>
      </c>
      <c r="G313" s="1807">
        <v>6795</v>
      </c>
      <c r="H313" s="1807" t="s">
        <v>1896</v>
      </c>
      <c r="I313" s="1807">
        <v>2007</v>
      </c>
      <c r="J313" s="1807">
        <v>2007</v>
      </c>
      <c r="K313" s="1807">
        <v>3050</v>
      </c>
      <c r="L313" s="1807" t="s">
        <v>1868</v>
      </c>
      <c r="M313" s="1807" t="s">
        <v>1871</v>
      </c>
      <c r="N313" s="1809">
        <v>152194</v>
      </c>
      <c r="O313" s="1807" t="s">
        <v>840</v>
      </c>
      <c r="P313" s="1807" t="s">
        <v>1804</v>
      </c>
      <c r="Q313" s="1807"/>
    </row>
    <row r="314" spans="1:17" ht="16.5" thickBot="1">
      <c r="A314" s="1806" t="s">
        <v>1894</v>
      </c>
      <c r="B314" s="1807" t="s">
        <v>1895</v>
      </c>
      <c r="C314" s="1807">
        <v>218</v>
      </c>
      <c r="D314" s="1807" t="s">
        <v>325</v>
      </c>
      <c r="E314" s="1807">
        <v>7225</v>
      </c>
      <c r="F314" s="1807" t="s">
        <v>1870</v>
      </c>
      <c r="G314" s="1807">
        <v>6795</v>
      </c>
      <c r="H314" s="1807" t="s">
        <v>1896</v>
      </c>
      <c r="I314" s="1807">
        <v>2008</v>
      </c>
      <c r="J314" s="1807">
        <v>2008</v>
      </c>
      <c r="K314" s="1807">
        <v>3050</v>
      </c>
      <c r="L314" s="1807" t="s">
        <v>1868</v>
      </c>
      <c r="M314" s="1807" t="s">
        <v>1871</v>
      </c>
      <c r="N314" s="1808" t="s">
        <v>1925</v>
      </c>
      <c r="O314" s="1807" t="s">
        <v>840</v>
      </c>
      <c r="P314" s="1807" t="s">
        <v>1804</v>
      </c>
      <c r="Q314" s="1807"/>
    </row>
    <row r="315" spans="1:17" ht="16.5" thickBot="1">
      <c r="A315" s="1806" t="s">
        <v>1894</v>
      </c>
      <c r="B315" s="1807" t="s">
        <v>1895</v>
      </c>
      <c r="C315" s="1807">
        <v>218</v>
      </c>
      <c r="D315" s="1807" t="s">
        <v>325</v>
      </c>
      <c r="E315" s="1807">
        <v>7230</v>
      </c>
      <c r="F315" s="1807" t="s">
        <v>232</v>
      </c>
      <c r="G315" s="1807">
        <v>6795</v>
      </c>
      <c r="H315" s="1807" t="s">
        <v>1896</v>
      </c>
      <c r="I315" s="1807">
        <v>2008</v>
      </c>
      <c r="J315" s="1807">
        <v>2008</v>
      </c>
      <c r="K315" s="1807">
        <v>3050</v>
      </c>
      <c r="L315" s="1807" t="s">
        <v>1868</v>
      </c>
      <c r="M315" s="1807" t="s">
        <v>1871</v>
      </c>
      <c r="N315" s="1808" t="s">
        <v>1926</v>
      </c>
      <c r="O315" s="1807" t="s">
        <v>840</v>
      </c>
      <c r="P315" s="1807" t="s">
        <v>1804</v>
      </c>
      <c r="Q315" s="1807"/>
    </row>
    <row r="316" spans="1:17" ht="24.5" thickBot="1">
      <c r="A316" s="1806" t="s">
        <v>1894</v>
      </c>
      <c r="B316" s="1807" t="s">
        <v>1895</v>
      </c>
      <c r="C316" s="1807">
        <v>218</v>
      </c>
      <c r="D316" s="1807" t="s">
        <v>325</v>
      </c>
      <c r="E316" s="1807">
        <v>724413</v>
      </c>
      <c r="F316" s="1807" t="s">
        <v>1899</v>
      </c>
      <c r="G316" s="1807">
        <v>6795</v>
      </c>
      <c r="H316" s="1807" t="s">
        <v>1896</v>
      </c>
      <c r="I316" s="1807">
        <v>2008</v>
      </c>
      <c r="J316" s="1807">
        <v>2008</v>
      </c>
      <c r="K316" s="1807">
        <v>3050</v>
      </c>
      <c r="L316" s="1807" t="s">
        <v>1868</v>
      </c>
      <c r="M316" s="1807" t="s">
        <v>1871</v>
      </c>
      <c r="N316" s="1809">
        <v>10332</v>
      </c>
      <c r="O316" s="1807" t="s">
        <v>840</v>
      </c>
      <c r="P316" s="1807" t="s">
        <v>1804</v>
      </c>
      <c r="Q316" s="1807"/>
    </row>
    <row r="317" spans="1:17" ht="24.5" thickBot="1">
      <c r="A317" s="1806" t="s">
        <v>1894</v>
      </c>
      <c r="B317" s="1807" t="s">
        <v>1895</v>
      </c>
      <c r="C317" s="1807">
        <v>218</v>
      </c>
      <c r="D317" s="1807" t="s">
        <v>325</v>
      </c>
      <c r="E317" s="1807">
        <v>724313</v>
      </c>
      <c r="F317" s="1807" t="s">
        <v>1900</v>
      </c>
      <c r="G317" s="1807">
        <v>6795</v>
      </c>
      <c r="H317" s="1807" t="s">
        <v>1896</v>
      </c>
      <c r="I317" s="1807">
        <v>2008</v>
      </c>
      <c r="J317" s="1807">
        <v>2008</v>
      </c>
      <c r="K317" s="1807">
        <v>3050</v>
      </c>
      <c r="L317" s="1807" t="s">
        <v>1868</v>
      </c>
      <c r="M317" s="1807" t="s">
        <v>1871</v>
      </c>
      <c r="N317" s="1808" t="s">
        <v>1927</v>
      </c>
      <c r="O317" s="1807" t="s">
        <v>840</v>
      </c>
      <c r="P317" s="1807" t="s">
        <v>1804</v>
      </c>
      <c r="Q317" s="1807"/>
    </row>
    <row r="318" spans="1:17" ht="16.5" thickBot="1">
      <c r="A318" s="1806" t="s">
        <v>1894</v>
      </c>
      <c r="B318" s="1807" t="s">
        <v>1895</v>
      </c>
      <c r="C318" s="1807">
        <v>218</v>
      </c>
      <c r="D318" s="1807" t="s">
        <v>325</v>
      </c>
      <c r="E318" s="1807">
        <v>723113</v>
      </c>
      <c r="F318" s="1807" t="s">
        <v>1901</v>
      </c>
      <c r="G318" s="1807">
        <v>6795</v>
      </c>
      <c r="H318" s="1807" t="s">
        <v>1896</v>
      </c>
      <c r="I318" s="1807">
        <v>2008</v>
      </c>
      <c r="J318" s="1807">
        <v>2008</v>
      </c>
      <c r="K318" s="1807">
        <v>3050</v>
      </c>
      <c r="L318" s="1807" t="s">
        <v>1868</v>
      </c>
      <c r="M318" s="1807" t="s">
        <v>1871</v>
      </c>
      <c r="N318" s="1809">
        <v>19342</v>
      </c>
      <c r="O318" s="1807" t="s">
        <v>840</v>
      </c>
      <c r="P318" s="1807" t="s">
        <v>1804</v>
      </c>
      <c r="Q318" s="1807"/>
    </row>
    <row r="319" spans="1:17" ht="16.5" thickBot="1">
      <c r="A319" s="1806" t="s">
        <v>1894</v>
      </c>
      <c r="B319" s="1807" t="s">
        <v>1895</v>
      </c>
      <c r="C319" s="1807">
        <v>218</v>
      </c>
      <c r="D319" s="1807" t="s">
        <v>325</v>
      </c>
      <c r="E319" s="1807">
        <v>7225</v>
      </c>
      <c r="F319" s="1807" t="s">
        <v>1870</v>
      </c>
      <c r="G319" s="1807">
        <v>6795</v>
      </c>
      <c r="H319" s="1807" t="s">
        <v>1896</v>
      </c>
      <c r="I319" s="1807">
        <v>2009</v>
      </c>
      <c r="J319" s="1807">
        <v>2009</v>
      </c>
      <c r="K319" s="1807">
        <v>3050</v>
      </c>
      <c r="L319" s="1807" t="s">
        <v>1868</v>
      </c>
      <c r="M319" s="1807" t="s">
        <v>1871</v>
      </c>
      <c r="N319" s="1808" t="s">
        <v>1928</v>
      </c>
      <c r="O319" s="1807" t="s">
        <v>840</v>
      </c>
      <c r="P319" s="1807" t="s">
        <v>1804</v>
      </c>
      <c r="Q319" s="1807"/>
    </row>
    <row r="320" spans="1:17" ht="16.5" thickBot="1">
      <c r="A320" s="1806" t="s">
        <v>1894</v>
      </c>
      <c r="B320" s="1807" t="s">
        <v>1895</v>
      </c>
      <c r="C320" s="1807">
        <v>218</v>
      </c>
      <c r="D320" s="1807" t="s">
        <v>325</v>
      </c>
      <c r="E320" s="1807">
        <v>7230</v>
      </c>
      <c r="F320" s="1807" t="s">
        <v>232</v>
      </c>
      <c r="G320" s="1807">
        <v>6795</v>
      </c>
      <c r="H320" s="1807" t="s">
        <v>1896</v>
      </c>
      <c r="I320" s="1807">
        <v>2009</v>
      </c>
      <c r="J320" s="1807">
        <v>2009</v>
      </c>
      <c r="K320" s="1807">
        <v>3050</v>
      </c>
      <c r="L320" s="1807" t="s">
        <v>1868</v>
      </c>
      <c r="M320" s="1807" t="s">
        <v>1871</v>
      </c>
      <c r="N320" s="1808" t="s">
        <v>1929</v>
      </c>
      <c r="O320" s="1807" t="s">
        <v>840</v>
      </c>
      <c r="P320" s="1807" t="s">
        <v>1804</v>
      </c>
      <c r="Q320" s="1807"/>
    </row>
    <row r="321" spans="1:17" ht="24.5" thickBot="1">
      <c r="A321" s="1806" t="s">
        <v>1894</v>
      </c>
      <c r="B321" s="1807" t="s">
        <v>1895</v>
      </c>
      <c r="C321" s="1807">
        <v>218</v>
      </c>
      <c r="D321" s="1807" t="s">
        <v>325</v>
      </c>
      <c r="E321" s="1807">
        <v>724413</v>
      </c>
      <c r="F321" s="1807" t="s">
        <v>1899</v>
      </c>
      <c r="G321" s="1807">
        <v>6795</v>
      </c>
      <c r="H321" s="1807" t="s">
        <v>1896</v>
      </c>
      <c r="I321" s="1807">
        <v>2009</v>
      </c>
      <c r="J321" s="1807">
        <v>2009</v>
      </c>
      <c r="K321" s="1807">
        <v>3050</v>
      </c>
      <c r="L321" s="1807" t="s">
        <v>1868</v>
      </c>
      <c r="M321" s="1807" t="s">
        <v>1871</v>
      </c>
      <c r="N321" s="1809">
        <v>120988</v>
      </c>
      <c r="O321" s="1807" t="s">
        <v>840</v>
      </c>
      <c r="P321" s="1807" t="s">
        <v>1804</v>
      </c>
      <c r="Q321" s="1807"/>
    </row>
    <row r="322" spans="1:17" ht="24.5" thickBot="1">
      <c r="A322" s="1806" t="s">
        <v>1894</v>
      </c>
      <c r="B322" s="1807" t="s">
        <v>1895</v>
      </c>
      <c r="C322" s="1807">
        <v>218</v>
      </c>
      <c r="D322" s="1807" t="s">
        <v>325</v>
      </c>
      <c r="E322" s="1807">
        <v>724313</v>
      </c>
      <c r="F322" s="1807" t="s">
        <v>1900</v>
      </c>
      <c r="G322" s="1807">
        <v>6795</v>
      </c>
      <c r="H322" s="1807" t="s">
        <v>1896</v>
      </c>
      <c r="I322" s="1807">
        <v>2009</v>
      </c>
      <c r="J322" s="1807">
        <v>2009</v>
      </c>
      <c r="K322" s="1807">
        <v>3050</v>
      </c>
      <c r="L322" s="1807" t="s">
        <v>1868</v>
      </c>
      <c r="M322" s="1807" t="s">
        <v>1871</v>
      </c>
      <c r="N322" s="1809">
        <v>104675</v>
      </c>
      <c r="O322" s="1807" t="s">
        <v>840</v>
      </c>
      <c r="P322" s="1807" t="s">
        <v>1804</v>
      </c>
      <c r="Q322" s="1807"/>
    </row>
    <row r="323" spans="1:17" ht="16.5" thickBot="1">
      <c r="A323" s="1806" t="s">
        <v>1894</v>
      </c>
      <c r="B323" s="1807" t="s">
        <v>1895</v>
      </c>
      <c r="C323" s="1807">
        <v>218</v>
      </c>
      <c r="D323" s="1807" t="s">
        <v>325</v>
      </c>
      <c r="E323" s="1807">
        <v>723113</v>
      </c>
      <c r="F323" s="1807" t="s">
        <v>1901</v>
      </c>
      <c r="G323" s="1807">
        <v>6795</v>
      </c>
      <c r="H323" s="1807" t="s">
        <v>1896</v>
      </c>
      <c r="I323" s="1807">
        <v>2009</v>
      </c>
      <c r="J323" s="1807">
        <v>2009</v>
      </c>
      <c r="K323" s="1807">
        <v>3050</v>
      </c>
      <c r="L323" s="1807" t="s">
        <v>1868</v>
      </c>
      <c r="M323" s="1807" t="s">
        <v>1871</v>
      </c>
      <c r="N323" s="1809">
        <v>225663</v>
      </c>
      <c r="O323" s="1807" t="s">
        <v>840</v>
      </c>
      <c r="P323" s="1807" t="s">
        <v>1804</v>
      </c>
      <c r="Q323" s="1807"/>
    </row>
    <row r="324" spans="1:17" ht="16.5" thickBot="1">
      <c r="A324" s="1806" t="s">
        <v>1894</v>
      </c>
      <c r="B324" s="1807" t="s">
        <v>1895</v>
      </c>
      <c r="C324" s="1807">
        <v>218</v>
      </c>
      <c r="D324" s="1807" t="s">
        <v>325</v>
      </c>
      <c r="E324" s="1807">
        <v>7225</v>
      </c>
      <c r="F324" s="1807" t="s">
        <v>1870</v>
      </c>
      <c r="G324" s="1807">
        <v>6795</v>
      </c>
      <c r="H324" s="1807" t="s">
        <v>1896</v>
      </c>
      <c r="I324" s="1807">
        <v>2010</v>
      </c>
      <c r="J324" s="1807">
        <v>2010</v>
      </c>
      <c r="K324" s="1807">
        <v>3050</v>
      </c>
      <c r="L324" s="1807" t="s">
        <v>1868</v>
      </c>
      <c r="M324" s="1807" t="s">
        <v>1871</v>
      </c>
      <c r="N324" s="1808" t="s">
        <v>1930</v>
      </c>
      <c r="O324" s="1807" t="s">
        <v>840</v>
      </c>
      <c r="P324" s="1807" t="s">
        <v>1804</v>
      </c>
      <c r="Q324" s="1807"/>
    </row>
    <row r="325" spans="1:17" ht="16.5" thickBot="1">
      <c r="A325" s="1806" t="s">
        <v>1894</v>
      </c>
      <c r="B325" s="1807" t="s">
        <v>1895</v>
      </c>
      <c r="C325" s="1807">
        <v>218</v>
      </c>
      <c r="D325" s="1807" t="s">
        <v>325</v>
      </c>
      <c r="E325" s="1807">
        <v>7230</v>
      </c>
      <c r="F325" s="1807" t="s">
        <v>232</v>
      </c>
      <c r="G325" s="1807">
        <v>6795</v>
      </c>
      <c r="H325" s="1807" t="s">
        <v>1896</v>
      </c>
      <c r="I325" s="1807">
        <v>2010</v>
      </c>
      <c r="J325" s="1807">
        <v>2010</v>
      </c>
      <c r="K325" s="1807">
        <v>3050</v>
      </c>
      <c r="L325" s="1807" t="s">
        <v>1868</v>
      </c>
      <c r="M325" s="1807" t="s">
        <v>1871</v>
      </c>
      <c r="N325" s="1808" t="s">
        <v>1931</v>
      </c>
      <c r="O325" s="1807" t="s">
        <v>840</v>
      </c>
      <c r="P325" s="1807" t="s">
        <v>1804</v>
      </c>
      <c r="Q325" s="1807"/>
    </row>
    <row r="326" spans="1:17" ht="24.5" thickBot="1">
      <c r="A326" s="1806" t="s">
        <v>1894</v>
      </c>
      <c r="B326" s="1807" t="s">
        <v>1895</v>
      </c>
      <c r="C326" s="1807">
        <v>218</v>
      </c>
      <c r="D326" s="1807" t="s">
        <v>325</v>
      </c>
      <c r="E326" s="1807">
        <v>724413</v>
      </c>
      <c r="F326" s="1807" t="s">
        <v>1899</v>
      </c>
      <c r="G326" s="1807">
        <v>6795</v>
      </c>
      <c r="H326" s="1807" t="s">
        <v>1896</v>
      </c>
      <c r="I326" s="1807">
        <v>2010</v>
      </c>
      <c r="J326" s="1807">
        <v>2010</v>
      </c>
      <c r="K326" s="1807">
        <v>3050</v>
      </c>
      <c r="L326" s="1807" t="s">
        <v>1868</v>
      </c>
      <c r="M326" s="1807" t="s">
        <v>1871</v>
      </c>
      <c r="N326" s="1809">
        <v>24612</v>
      </c>
      <c r="O326" s="1807" t="s">
        <v>840</v>
      </c>
      <c r="P326" s="1807" t="s">
        <v>1804</v>
      </c>
      <c r="Q326" s="1807"/>
    </row>
    <row r="327" spans="1:17" ht="24.5" thickBot="1">
      <c r="A327" s="1806" t="s">
        <v>1894</v>
      </c>
      <c r="B327" s="1807" t="s">
        <v>1895</v>
      </c>
      <c r="C327" s="1807">
        <v>218</v>
      </c>
      <c r="D327" s="1807" t="s">
        <v>325</v>
      </c>
      <c r="E327" s="1807">
        <v>724313</v>
      </c>
      <c r="F327" s="1807" t="s">
        <v>1900</v>
      </c>
      <c r="G327" s="1807">
        <v>6795</v>
      </c>
      <c r="H327" s="1807" t="s">
        <v>1896</v>
      </c>
      <c r="I327" s="1807">
        <v>2010</v>
      </c>
      <c r="J327" s="1807">
        <v>2010</v>
      </c>
      <c r="K327" s="1807">
        <v>3050</v>
      </c>
      <c r="L327" s="1807" t="s">
        <v>1868</v>
      </c>
      <c r="M327" s="1807" t="s">
        <v>1871</v>
      </c>
      <c r="N327" s="1808" t="s">
        <v>1932</v>
      </c>
      <c r="O327" s="1807" t="s">
        <v>840</v>
      </c>
      <c r="P327" s="1807" t="s">
        <v>1804</v>
      </c>
      <c r="Q327" s="1807"/>
    </row>
    <row r="328" spans="1:17" ht="16.5" thickBot="1">
      <c r="A328" s="1806" t="s">
        <v>1894</v>
      </c>
      <c r="B328" s="1807" t="s">
        <v>1895</v>
      </c>
      <c r="C328" s="1807">
        <v>218</v>
      </c>
      <c r="D328" s="1807" t="s">
        <v>325</v>
      </c>
      <c r="E328" s="1807">
        <v>723113</v>
      </c>
      <c r="F328" s="1807" t="s">
        <v>1901</v>
      </c>
      <c r="G328" s="1807">
        <v>6795</v>
      </c>
      <c r="H328" s="1807" t="s">
        <v>1896</v>
      </c>
      <c r="I328" s="1807">
        <v>2010</v>
      </c>
      <c r="J328" s="1807">
        <v>2010</v>
      </c>
      <c r="K328" s="1807">
        <v>3050</v>
      </c>
      <c r="L328" s="1807" t="s">
        <v>1868</v>
      </c>
      <c r="M328" s="1807" t="s">
        <v>1871</v>
      </c>
      <c r="N328" s="1809">
        <v>45812</v>
      </c>
      <c r="O328" s="1807" t="s">
        <v>840</v>
      </c>
      <c r="P328" s="1807" t="s">
        <v>1804</v>
      </c>
      <c r="Q328" s="1807"/>
    </row>
    <row r="329" spans="1:17" ht="16.5" thickBot="1">
      <c r="A329" s="1806" t="s">
        <v>1894</v>
      </c>
      <c r="B329" s="1807" t="s">
        <v>1895</v>
      </c>
      <c r="C329" s="1807">
        <v>218</v>
      </c>
      <c r="D329" s="1807" t="s">
        <v>325</v>
      </c>
      <c r="E329" s="1807">
        <v>7225</v>
      </c>
      <c r="F329" s="1807" t="s">
        <v>1870</v>
      </c>
      <c r="G329" s="1807">
        <v>6795</v>
      </c>
      <c r="H329" s="1807" t="s">
        <v>1896</v>
      </c>
      <c r="I329" s="1807">
        <v>2011</v>
      </c>
      <c r="J329" s="1807">
        <v>2011</v>
      </c>
      <c r="K329" s="1807">
        <v>3050</v>
      </c>
      <c r="L329" s="1807" t="s">
        <v>1868</v>
      </c>
      <c r="M329" s="1807" t="s">
        <v>1871</v>
      </c>
      <c r="N329" s="1808" t="s">
        <v>1933</v>
      </c>
      <c r="O329" s="1807" t="s">
        <v>840</v>
      </c>
      <c r="P329" s="1807" t="s">
        <v>1804</v>
      </c>
      <c r="Q329" s="1807"/>
    </row>
    <row r="330" spans="1:17" ht="16.5" thickBot="1">
      <c r="A330" s="1806" t="s">
        <v>1894</v>
      </c>
      <c r="B330" s="1807" t="s">
        <v>1895</v>
      </c>
      <c r="C330" s="1807">
        <v>218</v>
      </c>
      <c r="D330" s="1807" t="s">
        <v>325</v>
      </c>
      <c r="E330" s="1807">
        <v>7230</v>
      </c>
      <c r="F330" s="1807" t="s">
        <v>232</v>
      </c>
      <c r="G330" s="1807">
        <v>6795</v>
      </c>
      <c r="H330" s="1807" t="s">
        <v>1896</v>
      </c>
      <c r="I330" s="1807">
        <v>2011</v>
      </c>
      <c r="J330" s="1807">
        <v>2011</v>
      </c>
      <c r="K330" s="1807">
        <v>3050</v>
      </c>
      <c r="L330" s="1807" t="s">
        <v>1868</v>
      </c>
      <c r="M330" s="1807" t="s">
        <v>1871</v>
      </c>
      <c r="N330" s="1808" t="s">
        <v>1934</v>
      </c>
      <c r="O330" s="1807" t="s">
        <v>840</v>
      </c>
      <c r="P330" s="1807" t="s">
        <v>1804</v>
      </c>
      <c r="Q330" s="1807"/>
    </row>
    <row r="331" spans="1:17" ht="24.5" thickBot="1">
      <c r="A331" s="1806" t="s">
        <v>1894</v>
      </c>
      <c r="B331" s="1807" t="s">
        <v>1895</v>
      </c>
      <c r="C331" s="1807">
        <v>218</v>
      </c>
      <c r="D331" s="1807" t="s">
        <v>325</v>
      </c>
      <c r="E331" s="1807">
        <v>724413</v>
      </c>
      <c r="F331" s="1807" t="s">
        <v>1899</v>
      </c>
      <c r="G331" s="1807">
        <v>6795</v>
      </c>
      <c r="H331" s="1807" t="s">
        <v>1896</v>
      </c>
      <c r="I331" s="1807">
        <v>2011</v>
      </c>
      <c r="J331" s="1807">
        <v>2011</v>
      </c>
      <c r="K331" s="1807">
        <v>3050</v>
      </c>
      <c r="L331" s="1807" t="s">
        <v>1868</v>
      </c>
      <c r="M331" s="1807" t="s">
        <v>1871</v>
      </c>
      <c r="N331" s="1809">
        <v>200088</v>
      </c>
      <c r="O331" s="1807" t="s">
        <v>840</v>
      </c>
      <c r="P331" s="1807" t="s">
        <v>1804</v>
      </c>
      <c r="Q331" s="1807"/>
    </row>
    <row r="332" spans="1:17" ht="24.5" thickBot="1">
      <c r="A332" s="1806" t="s">
        <v>1894</v>
      </c>
      <c r="B332" s="1807" t="s">
        <v>1895</v>
      </c>
      <c r="C332" s="1807">
        <v>218</v>
      </c>
      <c r="D332" s="1807" t="s">
        <v>325</v>
      </c>
      <c r="E332" s="1807">
        <v>724313</v>
      </c>
      <c r="F332" s="1807" t="s">
        <v>1900</v>
      </c>
      <c r="G332" s="1807">
        <v>6795</v>
      </c>
      <c r="H332" s="1807" t="s">
        <v>1896</v>
      </c>
      <c r="I332" s="1807">
        <v>2011</v>
      </c>
      <c r="J332" s="1807">
        <v>2011</v>
      </c>
      <c r="K332" s="1807">
        <v>3050</v>
      </c>
      <c r="L332" s="1807" t="s">
        <v>1868</v>
      </c>
      <c r="M332" s="1807" t="s">
        <v>1871</v>
      </c>
      <c r="N332" s="1809">
        <v>17278</v>
      </c>
      <c r="O332" s="1807" t="s">
        <v>840</v>
      </c>
      <c r="P332" s="1807" t="s">
        <v>1804</v>
      </c>
      <c r="Q332" s="1807"/>
    </row>
    <row r="333" spans="1:17" ht="16.5" thickBot="1">
      <c r="A333" s="1806" t="s">
        <v>1894</v>
      </c>
      <c r="B333" s="1807" t="s">
        <v>1895</v>
      </c>
      <c r="C333" s="1807">
        <v>218</v>
      </c>
      <c r="D333" s="1807" t="s">
        <v>325</v>
      </c>
      <c r="E333" s="1807">
        <v>723113</v>
      </c>
      <c r="F333" s="1807" t="s">
        <v>1901</v>
      </c>
      <c r="G333" s="1807">
        <v>6795</v>
      </c>
      <c r="H333" s="1807" t="s">
        <v>1896</v>
      </c>
      <c r="I333" s="1807">
        <v>2011</v>
      </c>
      <c r="J333" s="1807">
        <v>2011</v>
      </c>
      <c r="K333" s="1807">
        <v>3050</v>
      </c>
      <c r="L333" s="1807" t="s">
        <v>1868</v>
      </c>
      <c r="M333" s="1807" t="s">
        <v>1871</v>
      </c>
      <c r="N333" s="1809">
        <v>372868</v>
      </c>
      <c r="O333" s="1807" t="s">
        <v>840</v>
      </c>
      <c r="P333" s="1807" t="s">
        <v>1804</v>
      </c>
      <c r="Q333" s="1807"/>
    </row>
    <row r="334" spans="1:17" ht="16.5" thickBot="1">
      <c r="A334" s="1806" t="s">
        <v>1894</v>
      </c>
      <c r="B334" s="1807" t="s">
        <v>1895</v>
      </c>
      <c r="C334" s="1807">
        <v>218</v>
      </c>
      <c r="D334" s="1807" t="s">
        <v>325</v>
      </c>
      <c r="E334" s="1807">
        <v>7225</v>
      </c>
      <c r="F334" s="1807" t="s">
        <v>1870</v>
      </c>
      <c r="G334" s="1807">
        <v>6795</v>
      </c>
      <c r="H334" s="1807" t="s">
        <v>1896</v>
      </c>
      <c r="I334" s="1807">
        <v>2012</v>
      </c>
      <c r="J334" s="1807">
        <v>2012</v>
      </c>
      <c r="K334" s="1807">
        <v>3050</v>
      </c>
      <c r="L334" s="1807" t="s">
        <v>1868</v>
      </c>
      <c r="M334" s="1807" t="s">
        <v>1871</v>
      </c>
      <c r="N334" s="1808" t="s">
        <v>1935</v>
      </c>
      <c r="O334" s="1807" t="s">
        <v>840</v>
      </c>
      <c r="P334" s="1807" t="s">
        <v>1804</v>
      </c>
      <c r="Q334" s="1807"/>
    </row>
    <row r="335" spans="1:17" ht="16.5" thickBot="1">
      <c r="A335" s="1806" t="s">
        <v>1894</v>
      </c>
      <c r="B335" s="1807" t="s">
        <v>1895</v>
      </c>
      <c r="C335" s="1807">
        <v>218</v>
      </c>
      <c r="D335" s="1807" t="s">
        <v>325</v>
      </c>
      <c r="E335" s="1807">
        <v>7230</v>
      </c>
      <c r="F335" s="1807" t="s">
        <v>232</v>
      </c>
      <c r="G335" s="1807">
        <v>6795</v>
      </c>
      <c r="H335" s="1807" t="s">
        <v>1896</v>
      </c>
      <c r="I335" s="1807">
        <v>2012</v>
      </c>
      <c r="J335" s="1807">
        <v>2012</v>
      </c>
      <c r="K335" s="1807">
        <v>3050</v>
      </c>
      <c r="L335" s="1807" t="s">
        <v>1868</v>
      </c>
      <c r="M335" s="1807" t="s">
        <v>1871</v>
      </c>
      <c r="N335" s="1808" t="s">
        <v>1936</v>
      </c>
      <c r="O335" s="1807" t="s">
        <v>840</v>
      </c>
      <c r="P335" s="1807" t="s">
        <v>1804</v>
      </c>
      <c r="Q335" s="1807"/>
    </row>
    <row r="336" spans="1:17" ht="24.5" thickBot="1">
      <c r="A336" s="1806" t="s">
        <v>1894</v>
      </c>
      <c r="B336" s="1807" t="s">
        <v>1895</v>
      </c>
      <c r="C336" s="1807">
        <v>218</v>
      </c>
      <c r="D336" s="1807" t="s">
        <v>325</v>
      </c>
      <c r="E336" s="1807">
        <v>724413</v>
      </c>
      <c r="F336" s="1807" t="s">
        <v>1899</v>
      </c>
      <c r="G336" s="1807">
        <v>6795</v>
      </c>
      <c r="H336" s="1807" t="s">
        <v>1896</v>
      </c>
      <c r="I336" s="1807">
        <v>2012</v>
      </c>
      <c r="J336" s="1807">
        <v>2012</v>
      </c>
      <c r="K336" s="1807">
        <v>3050</v>
      </c>
      <c r="L336" s="1807" t="s">
        <v>1868</v>
      </c>
      <c r="M336" s="1807" t="s">
        <v>1871</v>
      </c>
      <c r="N336" s="1809">
        <v>106792</v>
      </c>
      <c r="O336" s="1807" t="s">
        <v>840</v>
      </c>
      <c r="P336" s="1807" t="s">
        <v>1804</v>
      </c>
      <c r="Q336" s="1807"/>
    </row>
    <row r="337" spans="1:17" ht="24.5" thickBot="1">
      <c r="A337" s="1806" t="s">
        <v>1894</v>
      </c>
      <c r="B337" s="1807" t="s">
        <v>1895</v>
      </c>
      <c r="C337" s="1807">
        <v>218</v>
      </c>
      <c r="D337" s="1807" t="s">
        <v>325</v>
      </c>
      <c r="E337" s="1807">
        <v>724313</v>
      </c>
      <c r="F337" s="1807" t="s">
        <v>1900</v>
      </c>
      <c r="G337" s="1807">
        <v>6795</v>
      </c>
      <c r="H337" s="1807" t="s">
        <v>1896</v>
      </c>
      <c r="I337" s="1807">
        <v>2012</v>
      </c>
      <c r="J337" s="1807">
        <v>2012</v>
      </c>
      <c r="K337" s="1807">
        <v>3050</v>
      </c>
      <c r="L337" s="1807" t="s">
        <v>1868</v>
      </c>
      <c r="M337" s="1807" t="s">
        <v>1871</v>
      </c>
      <c r="N337" s="1809">
        <v>9222</v>
      </c>
      <c r="O337" s="1807" t="s">
        <v>840</v>
      </c>
      <c r="P337" s="1807" t="s">
        <v>1804</v>
      </c>
      <c r="Q337" s="1807"/>
    </row>
    <row r="338" spans="1:17" ht="16.5" thickBot="1">
      <c r="A338" s="1806" t="s">
        <v>1894</v>
      </c>
      <c r="B338" s="1807" t="s">
        <v>1895</v>
      </c>
      <c r="C338" s="1807">
        <v>218</v>
      </c>
      <c r="D338" s="1807" t="s">
        <v>325</v>
      </c>
      <c r="E338" s="1807">
        <v>723113</v>
      </c>
      <c r="F338" s="1807" t="s">
        <v>1901</v>
      </c>
      <c r="G338" s="1807">
        <v>6795</v>
      </c>
      <c r="H338" s="1807" t="s">
        <v>1896</v>
      </c>
      <c r="I338" s="1807">
        <v>2012</v>
      </c>
      <c r="J338" s="1807">
        <v>2012</v>
      </c>
      <c r="K338" s="1807">
        <v>3050</v>
      </c>
      <c r="L338" s="1807" t="s">
        <v>1868</v>
      </c>
      <c r="M338" s="1807" t="s">
        <v>1871</v>
      </c>
      <c r="N338" s="1809">
        <v>199012</v>
      </c>
      <c r="O338" s="1807" t="s">
        <v>840</v>
      </c>
      <c r="P338" s="1807" t="s">
        <v>1804</v>
      </c>
      <c r="Q338" s="1807"/>
    </row>
    <row r="339" spans="1:17" ht="16.5" thickBot="1">
      <c r="A339" s="1806" t="s">
        <v>1894</v>
      </c>
      <c r="B339" s="1807" t="s">
        <v>1895</v>
      </c>
      <c r="C339" s="1807">
        <v>218</v>
      </c>
      <c r="D339" s="1807" t="s">
        <v>325</v>
      </c>
      <c r="E339" s="1807">
        <v>7225</v>
      </c>
      <c r="F339" s="1807" t="s">
        <v>1870</v>
      </c>
      <c r="G339" s="1807">
        <v>6795</v>
      </c>
      <c r="H339" s="1807" t="s">
        <v>1896</v>
      </c>
      <c r="I339" s="1807">
        <v>2013</v>
      </c>
      <c r="J339" s="1807">
        <v>2013</v>
      </c>
      <c r="K339" s="1807">
        <v>3050</v>
      </c>
      <c r="L339" s="1807" t="s">
        <v>1868</v>
      </c>
      <c r="M339" s="1807" t="s">
        <v>1871</v>
      </c>
      <c r="N339" s="1808" t="s">
        <v>1937</v>
      </c>
      <c r="O339" s="1807" t="s">
        <v>840</v>
      </c>
      <c r="P339" s="1807" t="s">
        <v>1804</v>
      </c>
      <c r="Q339" s="1807"/>
    </row>
    <row r="340" spans="1:17" ht="16.5" thickBot="1">
      <c r="A340" s="1806" t="s">
        <v>1894</v>
      </c>
      <c r="B340" s="1807" t="s">
        <v>1895</v>
      </c>
      <c r="C340" s="1807">
        <v>218</v>
      </c>
      <c r="D340" s="1807" t="s">
        <v>325</v>
      </c>
      <c r="E340" s="1807">
        <v>7230</v>
      </c>
      <c r="F340" s="1807" t="s">
        <v>232</v>
      </c>
      <c r="G340" s="1807">
        <v>6795</v>
      </c>
      <c r="H340" s="1807" t="s">
        <v>1896</v>
      </c>
      <c r="I340" s="1807">
        <v>2013</v>
      </c>
      <c r="J340" s="1807">
        <v>2013</v>
      </c>
      <c r="K340" s="1807">
        <v>3050</v>
      </c>
      <c r="L340" s="1807" t="s">
        <v>1868</v>
      </c>
      <c r="M340" s="1807" t="s">
        <v>1871</v>
      </c>
      <c r="N340" s="1808" t="s">
        <v>1938</v>
      </c>
      <c r="O340" s="1807" t="s">
        <v>840</v>
      </c>
      <c r="P340" s="1807" t="s">
        <v>1804</v>
      </c>
      <c r="Q340" s="1807"/>
    </row>
    <row r="341" spans="1:17" ht="24.5" thickBot="1">
      <c r="A341" s="1806" t="s">
        <v>1894</v>
      </c>
      <c r="B341" s="1807" t="s">
        <v>1895</v>
      </c>
      <c r="C341" s="1807">
        <v>218</v>
      </c>
      <c r="D341" s="1807" t="s">
        <v>325</v>
      </c>
      <c r="E341" s="1807">
        <v>724413</v>
      </c>
      <c r="F341" s="1807" t="s">
        <v>1899</v>
      </c>
      <c r="G341" s="1807">
        <v>6795</v>
      </c>
      <c r="H341" s="1807" t="s">
        <v>1896</v>
      </c>
      <c r="I341" s="1807">
        <v>2013</v>
      </c>
      <c r="J341" s="1807">
        <v>2013</v>
      </c>
      <c r="K341" s="1807">
        <v>3050</v>
      </c>
      <c r="L341" s="1807" t="s">
        <v>1868</v>
      </c>
      <c r="M341" s="1807" t="s">
        <v>1871</v>
      </c>
      <c r="N341" s="1809">
        <v>95368</v>
      </c>
      <c r="O341" s="1807" t="s">
        <v>840</v>
      </c>
      <c r="P341" s="1807" t="s">
        <v>1804</v>
      </c>
      <c r="Q341" s="1807"/>
    </row>
    <row r="342" spans="1:17" ht="24.5" thickBot="1">
      <c r="A342" s="1806" t="s">
        <v>1894</v>
      </c>
      <c r="B342" s="1807" t="s">
        <v>1895</v>
      </c>
      <c r="C342" s="1807">
        <v>218</v>
      </c>
      <c r="D342" s="1807" t="s">
        <v>325</v>
      </c>
      <c r="E342" s="1807">
        <v>724313</v>
      </c>
      <c r="F342" s="1807" t="s">
        <v>1900</v>
      </c>
      <c r="G342" s="1807">
        <v>6795</v>
      </c>
      <c r="H342" s="1807" t="s">
        <v>1896</v>
      </c>
      <c r="I342" s="1807">
        <v>2013</v>
      </c>
      <c r="J342" s="1807">
        <v>2013</v>
      </c>
      <c r="K342" s="1807">
        <v>3050</v>
      </c>
      <c r="L342" s="1807" t="s">
        <v>1868</v>
      </c>
      <c r="M342" s="1807" t="s">
        <v>1871</v>
      </c>
      <c r="N342" s="1809">
        <v>82415</v>
      </c>
      <c r="O342" s="1807" t="s">
        <v>840</v>
      </c>
      <c r="P342" s="1807" t="s">
        <v>1804</v>
      </c>
      <c r="Q342" s="1807"/>
    </row>
    <row r="343" spans="1:17" ht="16.5" thickBot="1">
      <c r="A343" s="1806" t="s">
        <v>1894</v>
      </c>
      <c r="B343" s="1807" t="s">
        <v>1895</v>
      </c>
      <c r="C343" s="1807">
        <v>218</v>
      </c>
      <c r="D343" s="1807" t="s">
        <v>325</v>
      </c>
      <c r="E343" s="1807">
        <v>723113</v>
      </c>
      <c r="F343" s="1807" t="s">
        <v>1901</v>
      </c>
      <c r="G343" s="1807">
        <v>6795</v>
      </c>
      <c r="H343" s="1807" t="s">
        <v>1896</v>
      </c>
      <c r="I343" s="1807">
        <v>2013</v>
      </c>
      <c r="J343" s="1807">
        <v>2013</v>
      </c>
      <c r="K343" s="1807">
        <v>3050</v>
      </c>
      <c r="L343" s="1807" t="s">
        <v>1868</v>
      </c>
      <c r="M343" s="1807" t="s">
        <v>1871</v>
      </c>
      <c r="N343" s="1809">
        <v>177783</v>
      </c>
      <c r="O343" s="1807" t="s">
        <v>840</v>
      </c>
      <c r="P343" s="1807" t="s">
        <v>1804</v>
      </c>
      <c r="Q343" s="1807"/>
    </row>
    <row r="344" spans="1:17" ht="16.5" thickBot="1">
      <c r="A344" s="1806" t="s">
        <v>1894</v>
      </c>
      <c r="B344" s="1807" t="s">
        <v>1895</v>
      </c>
      <c r="C344" s="1807">
        <v>218</v>
      </c>
      <c r="D344" s="1807" t="s">
        <v>325</v>
      </c>
      <c r="E344" s="1807">
        <v>7225</v>
      </c>
      <c r="F344" s="1807" t="s">
        <v>1870</v>
      </c>
      <c r="G344" s="1807">
        <v>6795</v>
      </c>
      <c r="H344" s="1807" t="s">
        <v>1896</v>
      </c>
      <c r="I344" s="1807">
        <v>2014</v>
      </c>
      <c r="J344" s="1807">
        <v>2014</v>
      </c>
      <c r="K344" s="1807">
        <v>3050</v>
      </c>
      <c r="L344" s="1807" t="s">
        <v>1868</v>
      </c>
      <c r="M344" s="1807" t="s">
        <v>1871</v>
      </c>
      <c r="N344" s="1808" t="s">
        <v>1939</v>
      </c>
      <c r="O344" s="1807" t="s">
        <v>840</v>
      </c>
      <c r="P344" s="1807" t="s">
        <v>1804</v>
      </c>
      <c r="Q344" s="1807"/>
    </row>
    <row r="345" spans="1:17" ht="16.5" thickBot="1">
      <c r="A345" s="1806" t="s">
        <v>1894</v>
      </c>
      <c r="B345" s="1807" t="s">
        <v>1895</v>
      </c>
      <c r="C345" s="1807">
        <v>218</v>
      </c>
      <c r="D345" s="1807" t="s">
        <v>325</v>
      </c>
      <c r="E345" s="1807">
        <v>7230</v>
      </c>
      <c r="F345" s="1807" t="s">
        <v>232</v>
      </c>
      <c r="G345" s="1807">
        <v>6795</v>
      </c>
      <c r="H345" s="1807" t="s">
        <v>1896</v>
      </c>
      <c r="I345" s="1807">
        <v>2014</v>
      </c>
      <c r="J345" s="1807">
        <v>2014</v>
      </c>
      <c r="K345" s="1807">
        <v>3050</v>
      </c>
      <c r="L345" s="1807" t="s">
        <v>1868</v>
      </c>
      <c r="M345" s="1807" t="s">
        <v>1871</v>
      </c>
      <c r="N345" s="1808" t="s">
        <v>1940</v>
      </c>
      <c r="O345" s="1807" t="s">
        <v>840</v>
      </c>
      <c r="P345" s="1807" t="s">
        <v>1804</v>
      </c>
      <c r="Q345" s="1807"/>
    </row>
    <row r="346" spans="1:17" ht="24.5" thickBot="1">
      <c r="A346" s="1806" t="s">
        <v>1894</v>
      </c>
      <c r="B346" s="1807" t="s">
        <v>1895</v>
      </c>
      <c r="C346" s="1807">
        <v>218</v>
      </c>
      <c r="D346" s="1807" t="s">
        <v>325</v>
      </c>
      <c r="E346" s="1807">
        <v>724413</v>
      </c>
      <c r="F346" s="1807" t="s">
        <v>1899</v>
      </c>
      <c r="G346" s="1807">
        <v>6795</v>
      </c>
      <c r="H346" s="1807" t="s">
        <v>1896</v>
      </c>
      <c r="I346" s="1807">
        <v>2014</v>
      </c>
      <c r="J346" s="1807">
        <v>2014</v>
      </c>
      <c r="K346" s="1807">
        <v>3050</v>
      </c>
      <c r="L346" s="1807" t="s">
        <v>1868</v>
      </c>
      <c r="M346" s="1807" t="s">
        <v>1871</v>
      </c>
      <c r="N346" s="1809">
        <v>2772</v>
      </c>
      <c r="O346" s="1807" t="s">
        <v>840</v>
      </c>
      <c r="P346" s="1807" t="s">
        <v>1804</v>
      </c>
      <c r="Q346" s="1807"/>
    </row>
    <row r="347" spans="1:17" ht="24.5" thickBot="1">
      <c r="A347" s="1806" t="s">
        <v>1894</v>
      </c>
      <c r="B347" s="1807" t="s">
        <v>1895</v>
      </c>
      <c r="C347" s="1807">
        <v>218</v>
      </c>
      <c r="D347" s="1807" t="s">
        <v>325</v>
      </c>
      <c r="E347" s="1807">
        <v>724313</v>
      </c>
      <c r="F347" s="1807" t="s">
        <v>1900</v>
      </c>
      <c r="G347" s="1807">
        <v>6795</v>
      </c>
      <c r="H347" s="1807" t="s">
        <v>1896</v>
      </c>
      <c r="I347" s="1807">
        <v>2014</v>
      </c>
      <c r="J347" s="1807">
        <v>2014</v>
      </c>
      <c r="K347" s="1807">
        <v>3050</v>
      </c>
      <c r="L347" s="1807" t="s">
        <v>1868</v>
      </c>
      <c r="M347" s="1807" t="s">
        <v>1871</v>
      </c>
      <c r="N347" s="1809">
        <v>2385</v>
      </c>
      <c r="O347" s="1807" t="s">
        <v>840</v>
      </c>
      <c r="P347" s="1807" t="s">
        <v>1804</v>
      </c>
      <c r="Q347" s="1807"/>
    </row>
    <row r="348" spans="1:17" ht="16.5" thickBot="1">
      <c r="A348" s="1806" t="s">
        <v>1894</v>
      </c>
      <c r="B348" s="1807" t="s">
        <v>1895</v>
      </c>
      <c r="C348" s="1807">
        <v>218</v>
      </c>
      <c r="D348" s="1807" t="s">
        <v>325</v>
      </c>
      <c r="E348" s="1807">
        <v>723113</v>
      </c>
      <c r="F348" s="1807" t="s">
        <v>1901</v>
      </c>
      <c r="G348" s="1807">
        <v>6795</v>
      </c>
      <c r="H348" s="1807" t="s">
        <v>1896</v>
      </c>
      <c r="I348" s="1807">
        <v>2014</v>
      </c>
      <c r="J348" s="1807">
        <v>2014</v>
      </c>
      <c r="K348" s="1807">
        <v>3050</v>
      </c>
      <c r="L348" s="1807" t="s">
        <v>1868</v>
      </c>
      <c r="M348" s="1807" t="s">
        <v>1871</v>
      </c>
      <c r="N348" s="1809">
        <v>5157</v>
      </c>
      <c r="O348" s="1807" t="s">
        <v>840</v>
      </c>
      <c r="P348" s="1807" t="s">
        <v>1804</v>
      </c>
      <c r="Q348" s="1807"/>
    </row>
    <row r="349" spans="1:17" ht="16.5" thickBot="1">
      <c r="A349" s="1806" t="s">
        <v>1894</v>
      </c>
      <c r="B349" s="1807" t="s">
        <v>1895</v>
      </c>
      <c r="C349" s="1807">
        <v>218</v>
      </c>
      <c r="D349" s="1807" t="s">
        <v>325</v>
      </c>
      <c r="E349" s="1807">
        <v>7225</v>
      </c>
      <c r="F349" s="1807" t="s">
        <v>1870</v>
      </c>
      <c r="G349" s="1807">
        <v>6795</v>
      </c>
      <c r="H349" s="1807" t="s">
        <v>1896</v>
      </c>
      <c r="I349" s="1807">
        <v>2015</v>
      </c>
      <c r="J349" s="1807">
        <v>2015</v>
      </c>
      <c r="K349" s="1807">
        <v>3050</v>
      </c>
      <c r="L349" s="1807" t="s">
        <v>1868</v>
      </c>
      <c r="M349" s="1807" t="s">
        <v>1871</v>
      </c>
      <c r="N349" s="1808" t="s">
        <v>1941</v>
      </c>
      <c r="O349" s="1807" t="s">
        <v>840</v>
      </c>
      <c r="P349" s="1807" t="s">
        <v>1804</v>
      </c>
      <c r="Q349" s="1807"/>
    </row>
    <row r="350" spans="1:17" ht="16.5" thickBot="1">
      <c r="A350" s="1806" t="s">
        <v>1894</v>
      </c>
      <c r="B350" s="1807" t="s">
        <v>1895</v>
      </c>
      <c r="C350" s="1807">
        <v>218</v>
      </c>
      <c r="D350" s="1807" t="s">
        <v>325</v>
      </c>
      <c r="E350" s="1807">
        <v>7230</v>
      </c>
      <c r="F350" s="1807" t="s">
        <v>232</v>
      </c>
      <c r="G350" s="1807">
        <v>6795</v>
      </c>
      <c r="H350" s="1807" t="s">
        <v>1896</v>
      </c>
      <c r="I350" s="1807">
        <v>2015</v>
      </c>
      <c r="J350" s="1807">
        <v>2015</v>
      </c>
      <c r="K350" s="1807">
        <v>3050</v>
      </c>
      <c r="L350" s="1807" t="s">
        <v>1868</v>
      </c>
      <c r="M350" s="1807" t="s">
        <v>1871</v>
      </c>
      <c r="N350" s="1808" t="s">
        <v>1942</v>
      </c>
      <c r="O350" s="1807" t="s">
        <v>840</v>
      </c>
      <c r="P350" s="1807" t="s">
        <v>1804</v>
      </c>
      <c r="Q350" s="1807"/>
    </row>
    <row r="351" spans="1:17" ht="24.5" thickBot="1">
      <c r="A351" s="1806" t="s">
        <v>1894</v>
      </c>
      <c r="B351" s="1807" t="s">
        <v>1895</v>
      </c>
      <c r="C351" s="1807">
        <v>218</v>
      </c>
      <c r="D351" s="1807" t="s">
        <v>325</v>
      </c>
      <c r="E351" s="1807">
        <v>724413</v>
      </c>
      <c r="F351" s="1807" t="s">
        <v>1899</v>
      </c>
      <c r="G351" s="1807">
        <v>6795</v>
      </c>
      <c r="H351" s="1807" t="s">
        <v>1896</v>
      </c>
      <c r="I351" s="1807">
        <v>2015</v>
      </c>
      <c r="J351" s="1807">
        <v>2015</v>
      </c>
      <c r="K351" s="1807">
        <v>3050</v>
      </c>
      <c r="L351" s="1807" t="s">
        <v>1868</v>
      </c>
      <c r="M351" s="1807" t="s">
        <v>1871</v>
      </c>
      <c r="N351" s="1809">
        <v>50512</v>
      </c>
      <c r="O351" s="1807" t="s">
        <v>840</v>
      </c>
      <c r="P351" s="1807" t="s">
        <v>1804</v>
      </c>
      <c r="Q351" s="1807"/>
    </row>
    <row r="352" spans="1:17" ht="24.5" thickBot="1">
      <c r="A352" s="1806" t="s">
        <v>1894</v>
      </c>
      <c r="B352" s="1807" t="s">
        <v>1895</v>
      </c>
      <c r="C352" s="1807">
        <v>218</v>
      </c>
      <c r="D352" s="1807" t="s">
        <v>325</v>
      </c>
      <c r="E352" s="1807">
        <v>724313</v>
      </c>
      <c r="F352" s="1807" t="s">
        <v>1900</v>
      </c>
      <c r="G352" s="1807">
        <v>6795</v>
      </c>
      <c r="H352" s="1807" t="s">
        <v>1896</v>
      </c>
      <c r="I352" s="1807">
        <v>2015</v>
      </c>
      <c r="J352" s="1807">
        <v>2015</v>
      </c>
      <c r="K352" s="1807">
        <v>3050</v>
      </c>
      <c r="L352" s="1807" t="s">
        <v>1868</v>
      </c>
      <c r="M352" s="1807" t="s">
        <v>1871</v>
      </c>
      <c r="N352" s="1809">
        <v>43725</v>
      </c>
      <c r="O352" s="1807" t="s">
        <v>840</v>
      </c>
      <c r="P352" s="1807" t="s">
        <v>1804</v>
      </c>
      <c r="Q352" s="1807"/>
    </row>
    <row r="353" spans="1:17" ht="16.5" thickBot="1">
      <c r="A353" s="1806" t="s">
        <v>1894</v>
      </c>
      <c r="B353" s="1807" t="s">
        <v>1895</v>
      </c>
      <c r="C353" s="1807">
        <v>218</v>
      </c>
      <c r="D353" s="1807" t="s">
        <v>325</v>
      </c>
      <c r="E353" s="1807">
        <v>723113</v>
      </c>
      <c r="F353" s="1807" t="s">
        <v>1901</v>
      </c>
      <c r="G353" s="1807">
        <v>6795</v>
      </c>
      <c r="H353" s="1807" t="s">
        <v>1896</v>
      </c>
      <c r="I353" s="1807">
        <v>2015</v>
      </c>
      <c r="J353" s="1807">
        <v>2015</v>
      </c>
      <c r="K353" s="1807">
        <v>3050</v>
      </c>
      <c r="L353" s="1807" t="s">
        <v>1868</v>
      </c>
      <c r="M353" s="1807" t="s">
        <v>1871</v>
      </c>
      <c r="N353" s="1809">
        <v>94237</v>
      </c>
      <c r="O353" s="1807" t="s">
        <v>840</v>
      </c>
      <c r="P353" s="1807" t="s">
        <v>1804</v>
      </c>
      <c r="Q353" s="1807"/>
    </row>
    <row r="354" spans="1:17" ht="16.5" thickBot="1">
      <c r="A354" s="1806" t="s">
        <v>1894</v>
      </c>
      <c r="B354" s="1807" t="s">
        <v>1895</v>
      </c>
      <c r="C354" s="1807">
        <v>218</v>
      </c>
      <c r="D354" s="1807" t="s">
        <v>325</v>
      </c>
      <c r="E354" s="1807">
        <v>7225</v>
      </c>
      <c r="F354" s="1807" t="s">
        <v>1870</v>
      </c>
      <c r="G354" s="1807">
        <v>6795</v>
      </c>
      <c r="H354" s="1807" t="s">
        <v>1896</v>
      </c>
      <c r="I354" s="1807">
        <v>2016</v>
      </c>
      <c r="J354" s="1807">
        <v>2016</v>
      </c>
      <c r="K354" s="1807">
        <v>3050</v>
      </c>
      <c r="L354" s="1807" t="s">
        <v>1868</v>
      </c>
      <c r="M354" s="1807" t="s">
        <v>1871</v>
      </c>
      <c r="N354" s="1808" t="s">
        <v>1943</v>
      </c>
      <c r="O354" s="1807" t="s">
        <v>840</v>
      </c>
      <c r="P354" s="1807" t="s">
        <v>1804</v>
      </c>
      <c r="Q354" s="1807"/>
    </row>
    <row r="355" spans="1:17" ht="16.5" thickBot="1">
      <c r="A355" s="1806" t="s">
        <v>1894</v>
      </c>
      <c r="B355" s="1807" t="s">
        <v>1895</v>
      </c>
      <c r="C355" s="1807">
        <v>218</v>
      </c>
      <c r="D355" s="1807" t="s">
        <v>325</v>
      </c>
      <c r="E355" s="1807">
        <v>7230</v>
      </c>
      <c r="F355" s="1807" t="s">
        <v>232</v>
      </c>
      <c r="G355" s="1807">
        <v>6795</v>
      </c>
      <c r="H355" s="1807" t="s">
        <v>1896</v>
      </c>
      <c r="I355" s="1807">
        <v>2016</v>
      </c>
      <c r="J355" s="1807">
        <v>2016</v>
      </c>
      <c r="K355" s="1807">
        <v>3050</v>
      </c>
      <c r="L355" s="1807" t="s">
        <v>1868</v>
      </c>
      <c r="M355" s="1807" t="s">
        <v>1871</v>
      </c>
      <c r="N355" s="1808" t="s">
        <v>1944</v>
      </c>
      <c r="O355" s="1807" t="s">
        <v>840</v>
      </c>
      <c r="P355" s="1807" t="s">
        <v>1804</v>
      </c>
      <c r="Q355" s="1807"/>
    </row>
    <row r="356" spans="1:17" ht="24.5" thickBot="1">
      <c r="A356" s="1806" t="s">
        <v>1894</v>
      </c>
      <c r="B356" s="1807" t="s">
        <v>1895</v>
      </c>
      <c r="C356" s="1807">
        <v>218</v>
      </c>
      <c r="D356" s="1807" t="s">
        <v>325</v>
      </c>
      <c r="E356" s="1807">
        <v>724413</v>
      </c>
      <c r="F356" s="1807" t="s">
        <v>1899</v>
      </c>
      <c r="G356" s="1807">
        <v>6795</v>
      </c>
      <c r="H356" s="1807" t="s">
        <v>1896</v>
      </c>
      <c r="I356" s="1807">
        <v>2016</v>
      </c>
      <c r="J356" s="1807">
        <v>2016</v>
      </c>
      <c r="K356" s="1807">
        <v>3050</v>
      </c>
      <c r="L356" s="1807" t="s">
        <v>1868</v>
      </c>
      <c r="M356" s="1807" t="s">
        <v>1871</v>
      </c>
      <c r="N356" s="1808" t="s">
        <v>1945</v>
      </c>
      <c r="O356" s="1807" t="s">
        <v>840</v>
      </c>
      <c r="P356" s="1807" t="s">
        <v>1804</v>
      </c>
      <c r="Q356" s="1807"/>
    </row>
    <row r="357" spans="1:17" ht="24.5" thickBot="1">
      <c r="A357" s="1806" t="s">
        <v>1894</v>
      </c>
      <c r="B357" s="1807" t="s">
        <v>1895</v>
      </c>
      <c r="C357" s="1807">
        <v>218</v>
      </c>
      <c r="D357" s="1807" t="s">
        <v>325</v>
      </c>
      <c r="E357" s="1807">
        <v>724313</v>
      </c>
      <c r="F357" s="1807" t="s">
        <v>1900</v>
      </c>
      <c r="G357" s="1807">
        <v>6795</v>
      </c>
      <c r="H357" s="1807" t="s">
        <v>1896</v>
      </c>
      <c r="I357" s="1807">
        <v>2016</v>
      </c>
      <c r="J357" s="1807">
        <v>2016</v>
      </c>
      <c r="K357" s="1807">
        <v>3050</v>
      </c>
      <c r="L357" s="1807" t="s">
        <v>1868</v>
      </c>
      <c r="M357" s="1807" t="s">
        <v>1871</v>
      </c>
      <c r="N357" s="1809">
        <v>21412</v>
      </c>
      <c r="O357" s="1807" t="s">
        <v>840</v>
      </c>
      <c r="P357" s="1807" t="s">
        <v>1804</v>
      </c>
      <c r="Q357" s="1807"/>
    </row>
    <row r="358" spans="1:17" ht="16.5" thickBot="1">
      <c r="A358" s="1806" t="s">
        <v>1894</v>
      </c>
      <c r="B358" s="1807" t="s">
        <v>1895</v>
      </c>
      <c r="C358" s="1807">
        <v>218</v>
      </c>
      <c r="D358" s="1807" t="s">
        <v>325</v>
      </c>
      <c r="E358" s="1807">
        <v>723113</v>
      </c>
      <c r="F358" s="1807" t="s">
        <v>1901</v>
      </c>
      <c r="G358" s="1807">
        <v>6795</v>
      </c>
      <c r="H358" s="1807" t="s">
        <v>1896</v>
      </c>
      <c r="I358" s="1807">
        <v>2016</v>
      </c>
      <c r="J358" s="1807">
        <v>2016</v>
      </c>
      <c r="K358" s="1807">
        <v>3050</v>
      </c>
      <c r="L358" s="1807" t="s">
        <v>1868</v>
      </c>
      <c r="M358" s="1807" t="s">
        <v>1871</v>
      </c>
      <c r="N358" s="1809">
        <v>46192</v>
      </c>
      <c r="O358" s="1807" t="s">
        <v>840</v>
      </c>
      <c r="P358" s="1807" t="s">
        <v>1804</v>
      </c>
      <c r="Q358" s="1807"/>
    </row>
    <row r="359" spans="1:17" ht="16.5" thickBot="1">
      <c r="A359" s="1806" t="s">
        <v>1894</v>
      </c>
      <c r="B359" s="1807" t="s">
        <v>1895</v>
      </c>
      <c r="C359" s="1807">
        <v>218</v>
      </c>
      <c r="D359" s="1807" t="s">
        <v>325</v>
      </c>
      <c r="E359" s="1807">
        <v>7225</v>
      </c>
      <c r="F359" s="1807" t="s">
        <v>1870</v>
      </c>
      <c r="G359" s="1807">
        <v>6795</v>
      </c>
      <c r="H359" s="1807" t="s">
        <v>1896</v>
      </c>
      <c r="I359" s="1807">
        <v>2017</v>
      </c>
      <c r="J359" s="1807">
        <v>2017</v>
      </c>
      <c r="K359" s="1807">
        <v>3050</v>
      </c>
      <c r="L359" s="1807" t="s">
        <v>1868</v>
      </c>
      <c r="M359" s="1807" t="s">
        <v>1871</v>
      </c>
      <c r="N359" s="1808" t="s">
        <v>1946</v>
      </c>
      <c r="O359" s="1807" t="s">
        <v>840</v>
      </c>
      <c r="P359" s="1807" t="s">
        <v>1804</v>
      </c>
      <c r="Q359" s="1807"/>
    </row>
    <row r="360" spans="1:17" ht="16.5" thickBot="1">
      <c r="A360" s="1806" t="s">
        <v>1894</v>
      </c>
      <c r="B360" s="1807" t="s">
        <v>1895</v>
      </c>
      <c r="C360" s="1807">
        <v>218</v>
      </c>
      <c r="D360" s="1807" t="s">
        <v>325</v>
      </c>
      <c r="E360" s="1807">
        <v>7230</v>
      </c>
      <c r="F360" s="1807" t="s">
        <v>232</v>
      </c>
      <c r="G360" s="1807">
        <v>6795</v>
      </c>
      <c r="H360" s="1807" t="s">
        <v>1896</v>
      </c>
      <c r="I360" s="1807">
        <v>2017</v>
      </c>
      <c r="J360" s="1807">
        <v>2017</v>
      </c>
      <c r="K360" s="1807">
        <v>3050</v>
      </c>
      <c r="L360" s="1807" t="s">
        <v>1868</v>
      </c>
      <c r="M360" s="1807" t="s">
        <v>1871</v>
      </c>
      <c r="N360" s="1808" t="s">
        <v>1947</v>
      </c>
      <c r="O360" s="1807" t="s">
        <v>840</v>
      </c>
      <c r="P360" s="1807" t="s">
        <v>1804</v>
      </c>
      <c r="Q360" s="1807"/>
    </row>
    <row r="361" spans="1:17" ht="24.5" thickBot="1">
      <c r="A361" s="1806" t="s">
        <v>1894</v>
      </c>
      <c r="B361" s="1807" t="s">
        <v>1895</v>
      </c>
      <c r="C361" s="1807">
        <v>218</v>
      </c>
      <c r="D361" s="1807" t="s">
        <v>325</v>
      </c>
      <c r="E361" s="1807">
        <v>724413</v>
      </c>
      <c r="F361" s="1807" t="s">
        <v>1899</v>
      </c>
      <c r="G361" s="1807">
        <v>6795</v>
      </c>
      <c r="H361" s="1807" t="s">
        <v>1896</v>
      </c>
      <c r="I361" s="1807">
        <v>2017</v>
      </c>
      <c r="J361" s="1807">
        <v>2017</v>
      </c>
      <c r="K361" s="1807">
        <v>3050</v>
      </c>
      <c r="L361" s="1807" t="s">
        <v>1868</v>
      </c>
      <c r="M361" s="1807" t="s">
        <v>1871</v>
      </c>
      <c r="N361" s="1809">
        <v>55552</v>
      </c>
      <c r="O361" s="1807" t="s">
        <v>840</v>
      </c>
      <c r="P361" s="1807" t="s">
        <v>1804</v>
      </c>
      <c r="Q361" s="1807"/>
    </row>
    <row r="362" spans="1:17" ht="24.5" thickBot="1">
      <c r="A362" s="1806" t="s">
        <v>1894</v>
      </c>
      <c r="B362" s="1807" t="s">
        <v>1895</v>
      </c>
      <c r="C362" s="1807">
        <v>218</v>
      </c>
      <c r="D362" s="1807" t="s">
        <v>325</v>
      </c>
      <c r="E362" s="1807">
        <v>724313</v>
      </c>
      <c r="F362" s="1807" t="s">
        <v>1900</v>
      </c>
      <c r="G362" s="1807">
        <v>6795</v>
      </c>
      <c r="H362" s="1807" t="s">
        <v>1896</v>
      </c>
      <c r="I362" s="1807">
        <v>2017</v>
      </c>
      <c r="J362" s="1807">
        <v>2017</v>
      </c>
      <c r="K362" s="1807">
        <v>3050</v>
      </c>
      <c r="L362" s="1807" t="s">
        <v>1868</v>
      </c>
      <c r="M362" s="1807" t="s">
        <v>1871</v>
      </c>
      <c r="N362" s="1809">
        <v>47965</v>
      </c>
      <c r="O362" s="1807" t="s">
        <v>840</v>
      </c>
      <c r="P362" s="1807" t="s">
        <v>1804</v>
      </c>
      <c r="Q362" s="1807"/>
    </row>
    <row r="363" spans="1:17" ht="16.5" thickBot="1">
      <c r="A363" s="1806" t="s">
        <v>1894</v>
      </c>
      <c r="B363" s="1807" t="s">
        <v>1895</v>
      </c>
      <c r="C363" s="1807">
        <v>218</v>
      </c>
      <c r="D363" s="1807" t="s">
        <v>325</v>
      </c>
      <c r="E363" s="1807">
        <v>723113</v>
      </c>
      <c r="F363" s="1807" t="s">
        <v>1901</v>
      </c>
      <c r="G363" s="1807">
        <v>6795</v>
      </c>
      <c r="H363" s="1807" t="s">
        <v>1896</v>
      </c>
      <c r="I363" s="1807">
        <v>2017</v>
      </c>
      <c r="J363" s="1807">
        <v>2017</v>
      </c>
      <c r="K363" s="1807">
        <v>3050</v>
      </c>
      <c r="L363" s="1807" t="s">
        <v>1868</v>
      </c>
      <c r="M363" s="1807" t="s">
        <v>1871</v>
      </c>
      <c r="N363" s="1809">
        <v>103517</v>
      </c>
      <c r="O363" s="1807" t="s">
        <v>840</v>
      </c>
      <c r="P363" s="1807" t="s">
        <v>1804</v>
      </c>
      <c r="Q363" s="1807"/>
    </row>
    <row r="364" spans="1:17" ht="16.5" thickBot="1">
      <c r="A364" s="1806" t="s">
        <v>1894</v>
      </c>
      <c r="B364" s="1807" t="s">
        <v>1895</v>
      </c>
      <c r="C364" s="1807">
        <v>218</v>
      </c>
      <c r="D364" s="1807" t="s">
        <v>325</v>
      </c>
      <c r="E364" s="1807">
        <v>7225</v>
      </c>
      <c r="F364" s="1807" t="s">
        <v>1870</v>
      </c>
      <c r="G364" s="1807">
        <v>6795</v>
      </c>
      <c r="H364" s="1807" t="s">
        <v>1896</v>
      </c>
      <c r="I364" s="1807">
        <v>2018</v>
      </c>
      <c r="J364" s="1807">
        <v>2018</v>
      </c>
      <c r="K364" s="1807">
        <v>3050</v>
      </c>
      <c r="L364" s="1807" t="s">
        <v>1868</v>
      </c>
      <c r="M364" s="1807" t="s">
        <v>1871</v>
      </c>
      <c r="N364" s="1808" t="s">
        <v>1948</v>
      </c>
      <c r="O364" s="1807" t="s">
        <v>840</v>
      </c>
      <c r="P364" s="1807" t="s">
        <v>1804</v>
      </c>
      <c r="Q364" s="1807"/>
    </row>
    <row r="365" spans="1:17" ht="16.5" thickBot="1">
      <c r="A365" s="1806" t="s">
        <v>1894</v>
      </c>
      <c r="B365" s="1807" t="s">
        <v>1895</v>
      </c>
      <c r="C365" s="1807">
        <v>218</v>
      </c>
      <c r="D365" s="1807" t="s">
        <v>325</v>
      </c>
      <c r="E365" s="1807">
        <v>7230</v>
      </c>
      <c r="F365" s="1807" t="s">
        <v>232</v>
      </c>
      <c r="G365" s="1807">
        <v>6795</v>
      </c>
      <c r="H365" s="1807" t="s">
        <v>1896</v>
      </c>
      <c r="I365" s="1807">
        <v>2018</v>
      </c>
      <c r="J365" s="1807">
        <v>2018</v>
      </c>
      <c r="K365" s="1807">
        <v>3050</v>
      </c>
      <c r="L365" s="1807" t="s">
        <v>1868</v>
      </c>
      <c r="M365" s="1807" t="s">
        <v>1871</v>
      </c>
      <c r="N365" s="1808" t="s">
        <v>1949</v>
      </c>
      <c r="O365" s="1807" t="s">
        <v>840</v>
      </c>
      <c r="P365" s="1807" t="s">
        <v>1804</v>
      </c>
      <c r="Q365" s="1807"/>
    </row>
    <row r="366" spans="1:17" ht="24.5" thickBot="1">
      <c r="A366" s="1806" t="s">
        <v>1894</v>
      </c>
      <c r="B366" s="1807" t="s">
        <v>1895</v>
      </c>
      <c r="C366" s="1807">
        <v>218</v>
      </c>
      <c r="D366" s="1807" t="s">
        <v>325</v>
      </c>
      <c r="E366" s="1807">
        <v>724413</v>
      </c>
      <c r="F366" s="1807" t="s">
        <v>1899</v>
      </c>
      <c r="G366" s="1807">
        <v>6795</v>
      </c>
      <c r="H366" s="1807" t="s">
        <v>1896</v>
      </c>
      <c r="I366" s="1807">
        <v>2018</v>
      </c>
      <c r="J366" s="1807">
        <v>2018</v>
      </c>
      <c r="K366" s="1807">
        <v>3050</v>
      </c>
      <c r="L366" s="1807" t="s">
        <v>1868</v>
      </c>
      <c r="M366" s="1807" t="s">
        <v>1871</v>
      </c>
      <c r="N366" s="1809">
        <v>77084</v>
      </c>
      <c r="O366" s="1807" t="s">
        <v>840</v>
      </c>
      <c r="P366" s="1807" t="s">
        <v>1804</v>
      </c>
      <c r="Q366" s="1807"/>
    </row>
    <row r="367" spans="1:17" ht="24.5" thickBot="1">
      <c r="A367" s="1806" t="s">
        <v>1894</v>
      </c>
      <c r="B367" s="1807" t="s">
        <v>1895</v>
      </c>
      <c r="C367" s="1807">
        <v>218</v>
      </c>
      <c r="D367" s="1807" t="s">
        <v>325</v>
      </c>
      <c r="E367" s="1807">
        <v>724313</v>
      </c>
      <c r="F367" s="1807" t="s">
        <v>1900</v>
      </c>
      <c r="G367" s="1807">
        <v>6795</v>
      </c>
      <c r="H367" s="1807" t="s">
        <v>1896</v>
      </c>
      <c r="I367" s="1807">
        <v>2018</v>
      </c>
      <c r="J367" s="1807">
        <v>2018</v>
      </c>
      <c r="K367" s="1807">
        <v>3050</v>
      </c>
      <c r="L367" s="1807" t="s">
        <v>1868</v>
      </c>
      <c r="M367" s="1807" t="s">
        <v>1871</v>
      </c>
      <c r="N367" s="1809">
        <v>66515</v>
      </c>
      <c r="O367" s="1807" t="s">
        <v>840</v>
      </c>
      <c r="P367" s="1807" t="s">
        <v>1804</v>
      </c>
      <c r="Q367" s="1807"/>
    </row>
    <row r="368" spans="1:17" ht="16.5" thickBot="1">
      <c r="A368" s="1806" t="s">
        <v>1894</v>
      </c>
      <c r="B368" s="1807" t="s">
        <v>1895</v>
      </c>
      <c r="C368" s="1807">
        <v>218</v>
      </c>
      <c r="D368" s="1807" t="s">
        <v>325</v>
      </c>
      <c r="E368" s="1807">
        <v>723113</v>
      </c>
      <c r="F368" s="1807" t="s">
        <v>1901</v>
      </c>
      <c r="G368" s="1807">
        <v>6795</v>
      </c>
      <c r="H368" s="1807" t="s">
        <v>1896</v>
      </c>
      <c r="I368" s="1807">
        <v>2018</v>
      </c>
      <c r="J368" s="1807">
        <v>2018</v>
      </c>
      <c r="K368" s="1807">
        <v>3050</v>
      </c>
      <c r="L368" s="1807" t="s">
        <v>1868</v>
      </c>
      <c r="M368" s="1807" t="s">
        <v>1871</v>
      </c>
      <c r="N368" s="1809">
        <v>143599</v>
      </c>
      <c r="O368" s="1807" t="s">
        <v>840</v>
      </c>
      <c r="P368" s="1807" t="s">
        <v>1804</v>
      </c>
      <c r="Q368" s="1807"/>
    </row>
    <row r="369" spans="1:17" ht="16.5" thickBot="1">
      <c r="A369" s="1806" t="s">
        <v>1894</v>
      </c>
      <c r="B369" s="1807" t="s">
        <v>1895</v>
      </c>
      <c r="C369" s="1807">
        <v>218</v>
      </c>
      <c r="D369" s="1807" t="s">
        <v>325</v>
      </c>
      <c r="E369" s="1807">
        <v>7225</v>
      </c>
      <c r="F369" s="1807" t="s">
        <v>1870</v>
      </c>
      <c r="G369" s="1807">
        <v>6795</v>
      </c>
      <c r="H369" s="1807" t="s">
        <v>1896</v>
      </c>
      <c r="I369" s="1807">
        <v>2019</v>
      </c>
      <c r="J369" s="1807">
        <v>2019</v>
      </c>
      <c r="K369" s="1807">
        <v>3050</v>
      </c>
      <c r="L369" s="1807" t="s">
        <v>1868</v>
      </c>
      <c r="M369" s="1807" t="s">
        <v>1871</v>
      </c>
      <c r="N369" s="1808" t="s">
        <v>1950</v>
      </c>
      <c r="O369" s="1807" t="s">
        <v>840</v>
      </c>
      <c r="P369" s="1807" t="s">
        <v>1804</v>
      </c>
      <c r="Q369" s="1807"/>
    </row>
    <row r="370" spans="1:17" ht="16.5" thickBot="1">
      <c r="A370" s="1806" t="s">
        <v>1894</v>
      </c>
      <c r="B370" s="1807" t="s">
        <v>1895</v>
      </c>
      <c r="C370" s="1807">
        <v>218</v>
      </c>
      <c r="D370" s="1807" t="s">
        <v>325</v>
      </c>
      <c r="E370" s="1807">
        <v>7230</v>
      </c>
      <c r="F370" s="1807" t="s">
        <v>232</v>
      </c>
      <c r="G370" s="1807">
        <v>6795</v>
      </c>
      <c r="H370" s="1807" t="s">
        <v>1896</v>
      </c>
      <c r="I370" s="1807">
        <v>2019</v>
      </c>
      <c r="J370" s="1807">
        <v>2019</v>
      </c>
      <c r="K370" s="1807">
        <v>3050</v>
      </c>
      <c r="L370" s="1807" t="s">
        <v>1868</v>
      </c>
      <c r="M370" s="1807" t="s">
        <v>1871</v>
      </c>
      <c r="N370" s="1808" t="s">
        <v>1951</v>
      </c>
      <c r="O370" s="1807" t="s">
        <v>840</v>
      </c>
      <c r="P370" s="1807" t="s">
        <v>1804</v>
      </c>
      <c r="Q370" s="1807"/>
    </row>
    <row r="371" spans="1:17" ht="24.5" thickBot="1">
      <c r="A371" s="1806" t="s">
        <v>1894</v>
      </c>
      <c r="B371" s="1807" t="s">
        <v>1895</v>
      </c>
      <c r="C371" s="1807">
        <v>218</v>
      </c>
      <c r="D371" s="1807" t="s">
        <v>325</v>
      </c>
      <c r="E371" s="1807">
        <v>724413</v>
      </c>
      <c r="F371" s="1807" t="s">
        <v>1899</v>
      </c>
      <c r="G371" s="1807">
        <v>6795</v>
      </c>
      <c r="H371" s="1807" t="s">
        <v>1896</v>
      </c>
      <c r="I371" s="1807">
        <v>2019</v>
      </c>
      <c r="J371" s="1807">
        <v>2019</v>
      </c>
      <c r="K371" s="1807">
        <v>3050</v>
      </c>
      <c r="L371" s="1807" t="s">
        <v>1868</v>
      </c>
      <c r="M371" s="1807" t="s">
        <v>1871</v>
      </c>
      <c r="N371" s="1809">
        <v>178808</v>
      </c>
      <c r="O371" s="1807" t="s">
        <v>840</v>
      </c>
      <c r="P371" s="1807" t="s">
        <v>1804</v>
      </c>
      <c r="Q371" s="1807"/>
    </row>
    <row r="372" spans="1:17" ht="24.5" thickBot="1">
      <c r="A372" s="1806" t="s">
        <v>1894</v>
      </c>
      <c r="B372" s="1807" t="s">
        <v>1895</v>
      </c>
      <c r="C372" s="1807">
        <v>218</v>
      </c>
      <c r="D372" s="1807" t="s">
        <v>325</v>
      </c>
      <c r="E372" s="1807">
        <v>724313</v>
      </c>
      <c r="F372" s="1807" t="s">
        <v>1900</v>
      </c>
      <c r="G372" s="1807">
        <v>6795</v>
      </c>
      <c r="H372" s="1807" t="s">
        <v>1896</v>
      </c>
      <c r="I372" s="1807">
        <v>2019</v>
      </c>
      <c r="J372" s="1807">
        <v>2019</v>
      </c>
      <c r="K372" s="1807">
        <v>3050</v>
      </c>
      <c r="L372" s="1807" t="s">
        <v>1868</v>
      </c>
      <c r="M372" s="1807" t="s">
        <v>1871</v>
      </c>
      <c r="N372" s="1809">
        <v>154495</v>
      </c>
      <c r="O372" s="1807" t="s">
        <v>840</v>
      </c>
      <c r="P372" s="1807" t="s">
        <v>1804</v>
      </c>
      <c r="Q372" s="1807"/>
    </row>
    <row r="373" spans="1:17" ht="16.5" thickBot="1">
      <c r="A373" s="1806" t="s">
        <v>1894</v>
      </c>
      <c r="B373" s="1807" t="s">
        <v>1895</v>
      </c>
      <c r="C373" s="1807">
        <v>218</v>
      </c>
      <c r="D373" s="1807" t="s">
        <v>325</v>
      </c>
      <c r="E373" s="1807">
        <v>723113</v>
      </c>
      <c r="F373" s="1807" t="s">
        <v>1901</v>
      </c>
      <c r="G373" s="1807">
        <v>6795</v>
      </c>
      <c r="H373" s="1807" t="s">
        <v>1896</v>
      </c>
      <c r="I373" s="1807">
        <v>2019</v>
      </c>
      <c r="J373" s="1807">
        <v>2019</v>
      </c>
      <c r="K373" s="1807">
        <v>3050</v>
      </c>
      <c r="L373" s="1807" t="s">
        <v>1868</v>
      </c>
      <c r="M373" s="1807" t="s">
        <v>1871</v>
      </c>
      <c r="N373" s="1809">
        <v>333303</v>
      </c>
      <c r="O373" s="1807" t="s">
        <v>840</v>
      </c>
      <c r="P373" s="1807" t="s">
        <v>1804</v>
      </c>
      <c r="Q373" s="1807"/>
    </row>
    <row r="374" spans="1:17" ht="16.5" thickBot="1">
      <c r="A374" s="1806" t="s">
        <v>1894</v>
      </c>
      <c r="B374" s="1807" t="s">
        <v>1895</v>
      </c>
      <c r="C374" s="1807">
        <v>218</v>
      </c>
      <c r="D374" s="1807" t="s">
        <v>325</v>
      </c>
      <c r="E374" s="1807">
        <v>7225</v>
      </c>
      <c r="F374" s="1807" t="s">
        <v>1870</v>
      </c>
      <c r="G374" s="1807">
        <v>6795</v>
      </c>
      <c r="H374" s="1807" t="s">
        <v>1896</v>
      </c>
      <c r="I374" s="1807">
        <v>2020</v>
      </c>
      <c r="J374" s="1807">
        <v>2020</v>
      </c>
      <c r="K374" s="1807">
        <v>3050</v>
      </c>
      <c r="L374" s="1807" t="s">
        <v>1868</v>
      </c>
      <c r="M374" s="1807" t="s">
        <v>1871</v>
      </c>
      <c r="N374" s="1808" t="s">
        <v>1952</v>
      </c>
      <c r="O374" s="1807" t="s">
        <v>840</v>
      </c>
      <c r="P374" s="1807" t="s">
        <v>1804</v>
      </c>
      <c r="Q374" s="1807"/>
    </row>
    <row r="375" spans="1:17" ht="16.5" thickBot="1">
      <c r="A375" s="1806" t="s">
        <v>1894</v>
      </c>
      <c r="B375" s="1807" t="s">
        <v>1895</v>
      </c>
      <c r="C375" s="1807">
        <v>218</v>
      </c>
      <c r="D375" s="1807" t="s">
        <v>325</v>
      </c>
      <c r="E375" s="1807">
        <v>7230</v>
      </c>
      <c r="F375" s="1807" t="s">
        <v>232</v>
      </c>
      <c r="G375" s="1807">
        <v>6795</v>
      </c>
      <c r="H375" s="1807" t="s">
        <v>1896</v>
      </c>
      <c r="I375" s="1807">
        <v>2020</v>
      </c>
      <c r="J375" s="1807">
        <v>2020</v>
      </c>
      <c r="K375" s="1807">
        <v>3050</v>
      </c>
      <c r="L375" s="1807" t="s">
        <v>1868</v>
      </c>
      <c r="M375" s="1807" t="s">
        <v>1871</v>
      </c>
      <c r="N375" s="1808" t="s">
        <v>1953</v>
      </c>
      <c r="O375" s="1807" t="s">
        <v>840</v>
      </c>
      <c r="P375" s="1807" t="s">
        <v>1804</v>
      </c>
      <c r="Q375" s="1807"/>
    </row>
    <row r="376" spans="1:17" ht="24.5" thickBot="1">
      <c r="A376" s="1806" t="s">
        <v>1894</v>
      </c>
      <c r="B376" s="1807" t="s">
        <v>1895</v>
      </c>
      <c r="C376" s="1807">
        <v>218</v>
      </c>
      <c r="D376" s="1807" t="s">
        <v>325</v>
      </c>
      <c r="E376" s="1807">
        <v>724413</v>
      </c>
      <c r="F376" s="1807" t="s">
        <v>1899</v>
      </c>
      <c r="G376" s="1807">
        <v>6795</v>
      </c>
      <c r="H376" s="1807" t="s">
        <v>1896</v>
      </c>
      <c r="I376" s="1807">
        <v>2020</v>
      </c>
      <c r="J376" s="1807">
        <v>2020</v>
      </c>
      <c r="K376" s="1807">
        <v>3050</v>
      </c>
      <c r="L376" s="1807" t="s">
        <v>1868</v>
      </c>
      <c r="M376" s="1807" t="s">
        <v>1871</v>
      </c>
      <c r="N376" s="1809">
        <v>145012</v>
      </c>
      <c r="O376" s="1807" t="s">
        <v>840</v>
      </c>
      <c r="P376" s="1807" t="s">
        <v>1804</v>
      </c>
      <c r="Q376" s="1807"/>
    </row>
    <row r="377" spans="1:17" ht="24.5" thickBot="1">
      <c r="A377" s="1806" t="s">
        <v>1894</v>
      </c>
      <c r="B377" s="1807" t="s">
        <v>1895</v>
      </c>
      <c r="C377" s="1807">
        <v>218</v>
      </c>
      <c r="D377" s="1807" t="s">
        <v>325</v>
      </c>
      <c r="E377" s="1807">
        <v>724313</v>
      </c>
      <c r="F377" s="1807" t="s">
        <v>1900</v>
      </c>
      <c r="G377" s="1807">
        <v>6795</v>
      </c>
      <c r="H377" s="1807" t="s">
        <v>1896</v>
      </c>
      <c r="I377" s="1807">
        <v>2020</v>
      </c>
      <c r="J377" s="1807">
        <v>2020</v>
      </c>
      <c r="K377" s="1807">
        <v>3050</v>
      </c>
      <c r="L377" s="1807" t="s">
        <v>1868</v>
      </c>
      <c r="M377" s="1807" t="s">
        <v>1871</v>
      </c>
      <c r="N377" s="1809">
        <v>125345</v>
      </c>
      <c r="O377" s="1807" t="s">
        <v>840</v>
      </c>
      <c r="P377" s="1807" t="s">
        <v>1804</v>
      </c>
      <c r="Q377" s="1807"/>
    </row>
    <row r="378" spans="1:17" ht="16.5" thickBot="1">
      <c r="A378" s="1806" t="s">
        <v>1894</v>
      </c>
      <c r="B378" s="1807" t="s">
        <v>1895</v>
      </c>
      <c r="C378" s="1807">
        <v>218</v>
      </c>
      <c r="D378" s="1807" t="s">
        <v>325</v>
      </c>
      <c r="E378" s="1807">
        <v>723113</v>
      </c>
      <c r="F378" s="1807" t="s">
        <v>1901</v>
      </c>
      <c r="G378" s="1807">
        <v>6795</v>
      </c>
      <c r="H378" s="1807" t="s">
        <v>1896</v>
      </c>
      <c r="I378" s="1807">
        <v>2020</v>
      </c>
      <c r="J378" s="1807">
        <v>2020</v>
      </c>
      <c r="K378" s="1807">
        <v>3050</v>
      </c>
      <c r="L378" s="1807" t="s">
        <v>1868</v>
      </c>
      <c r="M378" s="1807" t="s">
        <v>1871</v>
      </c>
      <c r="N378" s="1809">
        <v>270357</v>
      </c>
      <c r="O378" s="1807" t="s">
        <v>840</v>
      </c>
      <c r="P378" s="1807" t="s">
        <v>1804</v>
      </c>
      <c r="Q378" s="1807"/>
    </row>
    <row r="379" spans="1:17" ht="16.5" thickBot="1">
      <c r="A379" s="1806" t="s">
        <v>1894</v>
      </c>
      <c r="B379" s="1807" t="s">
        <v>1895</v>
      </c>
      <c r="C379" s="1807">
        <v>218</v>
      </c>
      <c r="D379" s="1807" t="s">
        <v>325</v>
      </c>
      <c r="E379" s="1807">
        <v>7225</v>
      </c>
      <c r="F379" s="1807" t="s">
        <v>1870</v>
      </c>
      <c r="G379" s="1807">
        <v>6795</v>
      </c>
      <c r="H379" s="1807" t="s">
        <v>1896</v>
      </c>
      <c r="I379" s="1807">
        <v>2021</v>
      </c>
      <c r="J379" s="1807">
        <v>2021</v>
      </c>
      <c r="K379" s="1807">
        <v>3050</v>
      </c>
      <c r="L379" s="1807" t="s">
        <v>1868</v>
      </c>
      <c r="M379" s="1807" t="s">
        <v>1871</v>
      </c>
      <c r="N379" s="1808" t="s">
        <v>1954</v>
      </c>
      <c r="O379" s="1807" t="s">
        <v>840</v>
      </c>
      <c r="P379" s="1807" t="s">
        <v>1804</v>
      </c>
      <c r="Q379" s="1807"/>
    </row>
    <row r="380" spans="1:17" ht="16.5" thickBot="1">
      <c r="A380" s="1806" t="s">
        <v>1894</v>
      </c>
      <c r="B380" s="1807" t="s">
        <v>1895</v>
      </c>
      <c r="C380" s="1807">
        <v>218</v>
      </c>
      <c r="D380" s="1807" t="s">
        <v>325</v>
      </c>
      <c r="E380" s="1807">
        <v>7230</v>
      </c>
      <c r="F380" s="1807" t="s">
        <v>232</v>
      </c>
      <c r="G380" s="1807">
        <v>6795</v>
      </c>
      <c r="H380" s="1807" t="s">
        <v>1896</v>
      </c>
      <c r="I380" s="1807">
        <v>2021</v>
      </c>
      <c r="J380" s="1807">
        <v>2021</v>
      </c>
      <c r="K380" s="1807">
        <v>3050</v>
      </c>
      <c r="L380" s="1807" t="s">
        <v>1868</v>
      </c>
      <c r="M380" s="1807" t="s">
        <v>1871</v>
      </c>
      <c r="N380" s="1808" t="s">
        <v>1955</v>
      </c>
      <c r="O380" s="1807" t="s">
        <v>840</v>
      </c>
      <c r="P380" s="1807" t="s">
        <v>1804</v>
      </c>
      <c r="Q380" s="1807"/>
    </row>
    <row r="381" spans="1:17" ht="24.5" thickBot="1">
      <c r="A381" s="1806" t="s">
        <v>1894</v>
      </c>
      <c r="B381" s="1807" t="s">
        <v>1895</v>
      </c>
      <c r="C381" s="1807">
        <v>218</v>
      </c>
      <c r="D381" s="1807" t="s">
        <v>325</v>
      </c>
      <c r="E381" s="1807">
        <v>724413</v>
      </c>
      <c r="F381" s="1807" t="s">
        <v>1899</v>
      </c>
      <c r="G381" s="1807">
        <v>6795</v>
      </c>
      <c r="H381" s="1807" t="s">
        <v>1896</v>
      </c>
      <c r="I381" s="1807">
        <v>2021</v>
      </c>
      <c r="J381" s="1807">
        <v>2021</v>
      </c>
      <c r="K381" s="1807">
        <v>3050</v>
      </c>
      <c r="L381" s="1807" t="s">
        <v>1868</v>
      </c>
      <c r="M381" s="1807" t="s">
        <v>1871</v>
      </c>
      <c r="N381" s="1809">
        <v>13664</v>
      </c>
      <c r="O381" s="1807" t="s">
        <v>840</v>
      </c>
      <c r="P381" s="1807" t="s">
        <v>1804</v>
      </c>
      <c r="Q381" s="1807"/>
    </row>
    <row r="382" spans="1:17" ht="24.5" thickBot="1">
      <c r="A382" s="1806" t="s">
        <v>1894</v>
      </c>
      <c r="B382" s="1807" t="s">
        <v>1895</v>
      </c>
      <c r="C382" s="1807">
        <v>218</v>
      </c>
      <c r="D382" s="1807" t="s">
        <v>325</v>
      </c>
      <c r="E382" s="1807">
        <v>724313</v>
      </c>
      <c r="F382" s="1807" t="s">
        <v>1900</v>
      </c>
      <c r="G382" s="1807">
        <v>6795</v>
      </c>
      <c r="H382" s="1807" t="s">
        <v>1896</v>
      </c>
      <c r="I382" s="1807">
        <v>2021</v>
      </c>
      <c r="J382" s="1807">
        <v>2021</v>
      </c>
      <c r="K382" s="1807">
        <v>3050</v>
      </c>
      <c r="L382" s="1807" t="s">
        <v>1868</v>
      </c>
      <c r="M382" s="1807" t="s">
        <v>1871</v>
      </c>
      <c r="N382" s="1809">
        <v>11819</v>
      </c>
      <c r="O382" s="1807" t="s">
        <v>840</v>
      </c>
      <c r="P382" s="1807" t="s">
        <v>1804</v>
      </c>
      <c r="Q382" s="1807"/>
    </row>
    <row r="383" spans="1:17" ht="16.5" thickBot="1">
      <c r="A383" s="1810" t="s">
        <v>1894</v>
      </c>
      <c r="B383" s="1811" t="s">
        <v>1895</v>
      </c>
      <c r="C383" s="1811">
        <v>218</v>
      </c>
      <c r="D383" s="1811" t="s">
        <v>325</v>
      </c>
      <c r="E383" s="1811">
        <v>723113</v>
      </c>
      <c r="F383" s="1811" t="s">
        <v>1901</v>
      </c>
      <c r="G383" s="1811">
        <v>6795</v>
      </c>
      <c r="H383" s="1811" t="s">
        <v>1896</v>
      </c>
      <c r="I383" s="1811">
        <v>2021</v>
      </c>
      <c r="J383" s="1812"/>
      <c r="K383" s="1812"/>
      <c r="L383" s="1812"/>
      <c r="M383" s="1812"/>
      <c r="N383" s="1812"/>
      <c r="O383" s="1812"/>
      <c r="P383" s="1812"/>
      <c r="Q383" s="1812"/>
    </row>
  </sheetData>
  <hyperlinks>
    <hyperlink ref="A213" r:id="rId1" display="javascript:void(0)" xr:uid="{85499996-5CC6-4665-95B9-1DDA616D4FC1}"/>
    <hyperlink ref="A214" r:id="rId2" display="javascript:void(0)" xr:uid="{C35AAB36-A542-4D36-AB9F-7C900C8F2974}"/>
    <hyperlink ref="A215" r:id="rId3" display="javascript:void(0)" xr:uid="{928E5036-4B0B-420D-813C-CF84DADC358F}"/>
    <hyperlink ref="A216" r:id="rId4" display="javascript:void(0)" xr:uid="{F2C4E84B-44BE-4620-AA7E-3BD85E202139}"/>
    <hyperlink ref="A217" r:id="rId5" display="javascript:void(0)" xr:uid="{A333AE7A-0435-4F88-9318-10C25A7EEBDA}"/>
    <hyperlink ref="A218" r:id="rId6" display="javascript:void(0)" xr:uid="{1653A866-FBFA-4657-B9B1-5AEB5AF1BB95}"/>
    <hyperlink ref="A219" r:id="rId7" display="javascript:void(0)" xr:uid="{B512D45F-571C-49E7-B588-3D68AF26C003}"/>
  </hyperlinks>
  <pageMargins left="0.7" right="0.7" top="0.75" bottom="0.75" header="0.3" footer="0.3"/>
  <drawing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H24"/>
  <sheetViews>
    <sheetView showGridLines="0" topLeftCell="A5" zoomScale="90" zoomScaleNormal="90" workbookViewId="0">
      <selection activeCell="C15" sqref="C15"/>
    </sheetView>
  </sheetViews>
  <sheetFormatPr defaultColWidth="8" defaultRowHeight="12.5"/>
  <cols>
    <col min="1" max="1" width="8" style="155"/>
    <col min="2" max="5" width="15.33203125" style="155" customWidth="1"/>
    <col min="6" max="16384" width="8" style="155"/>
  </cols>
  <sheetData>
    <row r="2" spans="2:8" ht="14">
      <c r="B2" s="2616" t="s">
        <v>611</v>
      </c>
      <c r="C2" s="2616"/>
      <c r="D2" s="2616"/>
      <c r="E2" s="2616"/>
      <c r="F2" s="2616"/>
      <c r="G2" s="2616"/>
      <c r="H2" s="641" t="s">
        <v>898</v>
      </c>
    </row>
    <row r="3" spans="2:8" ht="13" thickBot="1"/>
    <row r="4" spans="2:8" ht="24" customHeight="1" thickBot="1">
      <c r="B4" s="154" t="s">
        <v>82</v>
      </c>
      <c r="C4" s="2776" t="s">
        <v>315</v>
      </c>
      <c r="D4" s="2777"/>
      <c r="E4" s="2778"/>
    </row>
    <row r="5" spans="2:8" ht="25.5" customHeight="1" thickBot="1">
      <c r="B5" s="156" t="s">
        <v>443</v>
      </c>
      <c r="C5" s="2776" t="s">
        <v>612</v>
      </c>
      <c r="D5" s="2777"/>
      <c r="E5" s="2778"/>
    </row>
    <row r="6" spans="2:8" ht="23.5" thickBot="1">
      <c r="B6" s="156" t="s">
        <v>427</v>
      </c>
      <c r="C6" s="2776" t="s">
        <v>104</v>
      </c>
      <c r="D6" s="2777"/>
      <c r="E6" s="2778"/>
    </row>
    <row r="7" spans="2:8" ht="13" thickBot="1">
      <c r="B7" s="156" t="s">
        <v>461</v>
      </c>
      <c r="C7" s="2776" t="s">
        <v>597</v>
      </c>
      <c r="D7" s="2777"/>
      <c r="E7" s="2778"/>
    </row>
    <row r="8" spans="2:8" ht="13" thickBot="1">
      <c r="B8" s="157" t="s">
        <v>429</v>
      </c>
      <c r="C8" s="2779" t="s">
        <v>613</v>
      </c>
      <c r="D8" s="2780"/>
      <c r="E8" s="2781"/>
    </row>
    <row r="9" spans="2:8" ht="37" thickBot="1">
      <c r="B9" s="2771" t="s">
        <v>614</v>
      </c>
      <c r="C9" s="158" t="s">
        <v>616</v>
      </c>
      <c r="D9" s="158" t="s">
        <v>617</v>
      </c>
      <c r="E9" s="158" t="s">
        <v>621</v>
      </c>
    </row>
    <row r="10" spans="2:8">
      <c r="B10" s="2772"/>
      <c r="C10" s="2771" t="s">
        <v>619</v>
      </c>
      <c r="D10" s="2771" t="s">
        <v>620</v>
      </c>
      <c r="E10" s="2771" t="s">
        <v>622</v>
      </c>
    </row>
    <row r="11" spans="2:8" ht="13" thickBot="1">
      <c r="B11" s="2772"/>
      <c r="C11" s="2774"/>
      <c r="D11" s="2775"/>
      <c r="E11" s="2774"/>
    </row>
    <row r="12" spans="2:8" ht="25.5" thickBot="1">
      <c r="B12" s="2772"/>
      <c r="C12" s="159"/>
      <c r="D12" s="159" t="s">
        <v>618</v>
      </c>
      <c r="E12" s="159" t="s">
        <v>1000</v>
      </c>
    </row>
    <row r="13" spans="2:8" ht="14" thickBot="1">
      <c r="B13" s="2773"/>
      <c r="C13" s="160" t="s">
        <v>45</v>
      </c>
      <c r="D13" s="160" t="s">
        <v>106</v>
      </c>
      <c r="E13" s="160" t="s">
        <v>1130</v>
      </c>
    </row>
    <row r="14" spans="2:8" ht="13.5" thickTop="1" thickBot="1">
      <c r="B14" s="161" t="s">
        <v>107</v>
      </c>
      <c r="C14" s="167">
        <f>'Datos de Actividad'!AA156</f>
        <v>284779.59999999998</v>
      </c>
      <c r="D14" s="162">
        <v>0.2</v>
      </c>
      <c r="E14" s="168">
        <f>C14*D14</f>
        <v>56955.92</v>
      </c>
    </row>
    <row r="15" spans="2:8" ht="13" thickBot="1">
      <c r="B15" s="161" t="s">
        <v>108</v>
      </c>
      <c r="C15" s="162"/>
      <c r="D15" s="162"/>
      <c r="E15" s="164"/>
    </row>
    <row r="16" spans="2:8" ht="13" thickBot="1">
      <c r="B16" s="161" t="s">
        <v>109</v>
      </c>
      <c r="C16" s="162"/>
      <c r="D16" s="163"/>
      <c r="E16" s="164"/>
    </row>
    <row r="17" spans="2:7" ht="13" thickBot="1">
      <c r="B17" s="165" t="s">
        <v>46</v>
      </c>
      <c r="C17" s="166"/>
      <c r="D17" s="166"/>
      <c r="E17" s="169">
        <f>SUM(E14:E16)</f>
        <v>56955.92</v>
      </c>
    </row>
    <row r="19" spans="2:7" ht="13" thickBot="1"/>
    <row r="20" spans="2:7" ht="15">
      <c r="B20" s="785" t="s">
        <v>1117</v>
      </c>
      <c r="C20" s="299"/>
      <c r="D20" s="299"/>
      <c r="E20" s="299"/>
      <c r="F20" s="299"/>
    </row>
    <row r="21" spans="2:7">
      <c r="B21" s="301" t="s">
        <v>433</v>
      </c>
      <c r="C21" s="367" t="s">
        <v>308</v>
      </c>
      <c r="D21" s="302" t="s">
        <v>3</v>
      </c>
      <c r="E21" s="302" t="s">
        <v>306</v>
      </c>
      <c r="F21" s="303"/>
    </row>
    <row r="22" spans="2:7">
      <c r="B22" s="383" t="s">
        <v>623</v>
      </c>
      <c r="C22" s="384" t="s">
        <v>441</v>
      </c>
      <c r="D22" s="385" t="s">
        <v>2408</v>
      </c>
      <c r="E22" s="385" t="s">
        <v>1116</v>
      </c>
      <c r="F22" s="386"/>
      <c r="G22" s="155" t="s">
        <v>43</v>
      </c>
    </row>
    <row r="23" spans="2:7">
      <c r="B23" s="383" t="s">
        <v>617</v>
      </c>
      <c r="C23" s="384" t="s">
        <v>457</v>
      </c>
      <c r="D23" s="385" t="s">
        <v>624</v>
      </c>
      <c r="E23" s="385"/>
      <c r="F23" s="386"/>
      <c r="G23" s="155" t="s">
        <v>43</v>
      </c>
    </row>
    <row r="24" spans="2:7" ht="13" thickBot="1">
      <c r="B24" s="380"/>
      <c r="C24" s="381"/>
      <c r="D24" s="381"/>
      <c r="E24" s="381"/>
      <c r="F24" s="382"/>
    </row>
  </sheetData>
  <mergeCells count="10">
    <mergeCell ref="B2:G2"/>
    <mergeCell ref="B9:B13"/>
    <mergeCell ref="C10:C11"/>
    <mergeCell ref="D10:D11"/>
    <mergeCell ref="E10:E11"/>
    <mergeCell ref="C4:E4"/>
    <mergeCell ref="C5:E5"/>
    <mergeCell ref="C6:E6"/>
    <mergeCell ref="C7:E7"/>
    <mergeCell ref="C8:E8"/>
  </mergeCells>
  <hyperlinks>
    <hyperlink ref="H2" location="INDICE!A1" display="INDICE" xr:uid="{00000000-0004-0000-1100-000000000000}"/>
  </hyperlinks>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M25"/>
  <sheetViews>
    <sheetView zoomScale="80" zoomScaleNormal="80" workbookViewId="0">
      <selection activeCell="L22" sqref="L22"/>
    </sheetView>
  </sheetViews>
  <sheetFormatPr defaultColWidth="10.6640625" defaultRowHeight="14"/>
  <cols>
    <col min="2" max="2" width="28.25" customWidth="1"/>
  </cols>
  <sheetData>
    <row r="3" spans="2:13" ht="18.5">
      <c r="B3" s="2782" t="s">
        <v>265</v>
      </c>
      <c r="C3" s="2782"/>
      <c r="D3" s="2782"/>
      <c r="E3" s="2782"/>
      <c r="F3" s="2782"/>
      <c r="G3" s="155"/>
      <c r="H3" s="155"/>
      <c r="I3" s="155"/>
      <c r="J3" s="155"/>
      <c r="K3" s="155"/>
      <c r="L3" s="155"/>
      <c r="M3" s="155"/>
    </row>
    <row r="4" spans="2:13" ht="14.5">
      <c r="B4" s="155"/>
      <c r="C4" s="195" t="s">
        <v>266</v>
      </c>
      <c r="D4" s="195"/>
      <c r="E4" s="195" t="s">
        <v>267</v>
      </c>
      <c r="F4" s="195" t="s">
        <v>268</v>
      </c>
      <c r="G4" s="155"/>
      <c r="H4" s="155"/>
      <c r="I4" s="155"/>
      <c r="J4" s="155"/>
      <c r="K4" s="155"/>
      <c r="L4" s="155"/>
      <c r="M4" s="155"/>
    </row>
    <row r="5" spans="2:13" ht="14.5">
      <c r="B5" s="155"/>
      <c r="C5" s="195" t="s">
        <v>269</v>
      </c>
      <c r="D5" s="195" t="s">
        <v>270</v>
      </c>
      <c r="E5" s="195"/>
      <c r="F5" s="195"/>
      <c r="G5" s="155"/>
      <c r="H5" s="155"/>
      <c r="I5" s="155"/>
      <c r="J5" s="196">
        <v>2014</v>
      </c>
      <c r="K5" s="196">
        <v>2014</v>
      </c>
      <c r="L5" s="196" t="s">
        <v>271</v>
      </c>
      <c r="M5" s="196" t="s">
        <v>272</v>
      </c>
    </row>
    <row r="6" spans="2:13">
      <c r="B6" s="197" t="s">
        <v>273</v>
      </c>
      <c r="C6" s="197"/>
      <c r="D6" s="197"/>
      <c r="E6" s="155"/>
      <c r="F6" s="155"/>
      <c r="G6" s="155"/>
      <c r="H6" s="155"/>
      <c r="I6" s="155"/>
      <c r="J6" s="155" t="s">
        <v>274</v>
      </c>
      <c r="K6" s="155" t="s">
        <v>275</v>
      </c>
      <c r="L6" s="155" t="s">
        <v>274</v>
      </c>
      <c r="M6" s="155" t="s">
        <v>275</v>
      </c>
    </row>
    <row r="7" spans="2:13" ht="14.5">
      <c r="B7" s="198" t="s">
        <v>276</v>
      </c>
      <c r="C7" s="155">
        <v>375820</v>
      </c>
      <c r="D7" s="155">
        <v>354136</v>
      </c>
      <c r="E7" s="155">
        <v>1379954</v>
      </c>
      <c r="F7" s="155">
        <v>1282065</v>
      </c>
      <c r="G7" s="155"/>
      <c r="H7" s="155"/>
      <c r="I7" s="199" t="s">
        <v>51</v>
      </c>
      <c r="J7" s="200">
        <v>6814.23701726729</v>
      </c>
      <c r="K7" s="200">
        <v>6081.8507860338204</v>
      </c>
      <c r="L7" s="201">
        <f>E15</f>
        <v>6814</v>
      </c>
      <c r="M7" s="202">
        <f>C15</f>
        <v>6167</v>
      </c>
    </row>
    <row r="8" spans="2:13" ht="14.5">
      <c r="B8" s="198" t="s">
        <v>277</v>
      </c>
      <c r="C8" s="155">
        <v>16346</v>
      </c>
      <c r="D8" s="155">
        <v>15688</v>
      </c>
      <c r="E8" s="155">
        <v>14490</v>
      </c>
      <c r="F8" s="155">
        <v>10016</v>
      </c>
      <c r="G8" s="155"/>
      <c r="H8" s="155"/>
      <c r="I8" s="199" t="s">
        <v>52</v>
      </c>
      <c r="J8" s="200">
        <v>1667703.923605368</v>
      </c>
      <c r="K8" s="200">
        <v>485695.73564264213</v>
      </c>
      <c r="L8" s="201">
        <f>SUM(E9:E12)</f>
        <v>1667704</v>
      </c>
      <c r="M8" s="202">
        <f>SUM(C9:C12)</f>
        <v>513356</v>
      </c>
    </row>
    <row r="9" spans="2:13" ht="14.5">
      <c r="B9" s="198" t="s">
        <v>278</v>
      </c>
      <c r="C9" s="155">
        <v>10702</v>
      </c>
      <c r="D9" s="155">
        <v>9865</v>
      </c>
      <c r="E9" s="155">
        <v>22708</v>
      </c>
      <c r="F9" s="155">
        <v>20322</v>
      </c>
      <c r="G9" s="155"/>
      <c r="H9" s="155"/>
      <c r="I9" s="199" t="s">
        <v>53</v>
      </c>
      <c r="J9" s="200">
        <v>1379953.59107907</v>
      </c>
      <c r="K9" s="200">
        <v>375820</v>
      </c>
      <c r="L9" s="201">
        <f>E7</f>
        <v>1379954</v>
      </c>
      <c r="M9" s="202">
        <f>C7</f>
        <v>375820</v>
      </c>
    </row>
    <row r="10" spans="2:13" ht="14.5">
      <c r="B10" s="198" t="s">
        <v>279</v>
      </c>
      <c r="C10" s="155">
        <v>397522</v>
      </c>
      <c r="D10" s="155">
        <v>378542</v>
      </c>
      <c r="E10" s="155">
        <v>1533219</v>
      </c>
      <c r="F10" s="155">
        <v>1465376</v>
      </c>
      <c r="G10" s="155"/>
      <c r="H10" s="155"/>
      <c r="I10" s="199" t="s">
        <v>187</v>
      </c>
      <c r="J10" s="200">
        <v>10961.921772403601</v>
      </c>
      <c r="K10" s="200">
        <v>15688.058822811472</v>
      </c>
      <c r="L10" s="201">
        <f>E8</f>
        <v>14490</v>
      </c>
      <c r="M10" s="202">
        <f>C8</f>
        <v>16346</v>
      </c>
    </row>
    <row r="11" spans="2:13" ht="14.5">
      <c r="B11" s="198" t="s">
        <v>280</v>
      </c>
      <c r="C11" s="155">
        <v>42226</v>
      </c>
      <c r="D11" s="155">
        <v>38642</v>
      </c>
      <c r="E11" s="155">
        <v>75059</v>
      </c>
      <c r="F11" s="155">
        <v>58035</v>
      </c>
      <c r="G11" s="155"/>
      <c r="H11" s="155"/>
      <c r="I11" s="199" t="s">
        <v>189</v>
      </c>
      <c r="J11" s="200">
        <v>70945.162935544096</v>
      </c>
      <c r="K11" s="200">
        <v>18769.809865443738</v>
      </c>
      <c r="L11" s="201">
        <f>E16</f>
        <v>111294</v>
      </c>
      <c r="M11" s="202">
        <f>C16</f>
        <v>19290</v>
      </c>
    </row>
    <row r="12" spans="2:13" ht="14.5">
      <c r="B12" s="198" t="s">
        <v>281</v>
      </c>
      <c r="C12" s="155">
        <v>62906</v>
      </c>
      <c r="D12" s="155">
        <v>58646</v>
      </c>
      <c r="E12" s="155">
        <v>36718</v>
      </c>
      <c r="F12" s="155">
        <v>17256</v>
      </c>
      <c r="G12" s="155"/>
      <c r="H12" s="155"/>
      <c r="I12" s="199" t="s">
        <v>188</v>
      </c>
      <c r="J12" s="200">
        <v>8251305.8554267799</v>
      </c>
      <c r="K12" s="200">
        <v>96891.7067958509</v>
      </c>
      <c r="L12" s="203">
        <f>E25</f>
        <v>8251306</v>
      </c>
      <c r="M12" s="204">
        <f>C25</f>
        <v>113293</v>
      </c>
    </row>
    <row r="13" spans="2:13" ht="14.5">
      <c r="B13" s="198" t="s">
        <v>282</v>
      </c>
      <c r="C13" s="155">
        <v>34014</v>
      </c>
      <c r="D13" s="155">
        <v>33208</v>
      </c>
      <c r="E13" s="155">
        <v>421061</v>
      </c>
      <c r="F13" s="155">
        <v>371238</v>
      </c>
      <c r="G13" s="155"/>
      <c r="H13" s="155"/>
      <c r="I13" s="199" t="s">
        <v>190</v>
      </c>
      <c r="J13" s="205">
        <v>10780</v>
      </c>
      <c r="K13" s="200">
        <v>9202.868966388025</v>
      </c>
      <c r="L13" s="201">
        <f>E18+E19</f>
        <v>11835</v>
      </c>
      <c r="M13" s="202">
        <f>C18+C19</f>
        <v>10360</v>
      </c>
    </row>
    <row r="14" spans="2:13" ht="14.5">
      <c r="B14" s="198" t="s">
        <v>283</v>
      </c>
      <c r="C14" s="155">
        <v>2962</v>
      </c>
      <c r="D14" s="155">
        <v>2792</v>
      </c>
      <c r="E14" s="155">
        <v>71831</v>
      </c>
      <c r="F14" s="155">
        <v>70524</v>
      </c>
      <c r="G14" s="155"/>
      <c r="H14" s="155"/>
      <c r="I14" s="199" t="s">
        <v>191</v>
      </c>
      <c r="J14" s="205">
        <v>32656</v>
      </c>
      <c r="K14" s="200">
        <v>44557.498230003883</v>
      </c>
      <c r="L14" s="203">
        <f>E20+E21</f>
        <v>30406</v>
      </c>
      <c r="M14" s="204">
        <f>C20+C21</f>
        <v>49079</v>
      </c>
    </row>
    <row r="15" spans="2:13" ht="14.5">
      <c r="B15" s="198" t="s">
        <v>284</v>
      </c>
      <c r="C15" s="155">
        <v>6167</v>
      </c>
      <c r="D15" s="155">
        <v>6082</v>
      </c>
      <c r="E15" s="155">
        <v>6814</v>
      </c>
      <c r="F15" s="155">
        <v>3835</v>
      </c>
      <c r="G15" s="155"/>
      <c r="H15" s="155"/>
      <c r="I15" s="199" t="s">
        <v>192</v>
      </c>
      <c r="J15" s="205">
        <v>14698</v>
      </c>
      <c r="K15" s="200">
        <v>18079.517390542482</v>
      </c>
      <c r="L15" s="201">
        <f>E22+E23</f>
        <v>30254</v>
      </c>
      <c r="M15" s="202">
        <f>C22+C23</f>
        <v>20037</v>
      </c>
    </row>
    <row r="16" spans="2:13" ht="15" thickBot="1">
      <c r="B16" s="198" t="s">
        <v>285</v>
      </c>
      <c r="C16" s="155">
        <v>19290</v>
      </c>
      <c r="D16" s="155">
        <v>18770</v>
      </c>
      <c r="E16" s="155">
        <v>111294</v>
      </c>
      <c r="F16" s="155">
        <v>84305</v>
      </c>
      <c r="G16" s="155"/>
      <c r="H16" s="155"/>
      <c r="I16" s="206" t="s">
        <v>193</v>
      </c>
      <c r="J16" s="207">
        <v>421060.80697937869</v>
      </c>
      <c r="K16" s="210">
        <v>33208.029192335634</v>
      </c>
      <c r="L16" s="201">
        <f>E13</f>
        <v>421061</v>
      </c>
      <c r="M16" s="202">
        <f>C13</f>
        <v>34014</v>
      </c>
    </row>
    <row r="17" spans="2:13">
      <c r="B17" s="197" t="s">
        <v>286</v>
      </c>
      <c r="C17" s="197"/>
      <c r="D17" s="197"/>
      <c r="E17" s="155"/>
      <c r="F17" s="155"/>
      <c r="G17" s="155"/>
      <c r="H17" s="155"/>
      <c r="I17" s="155"/>
      <c r="J17" s="155"/>
      <c r="K17" s="155"/>
      <c r="L17" s="155"/>
      <c r="M17" s="155"/>
    </row>
    <row r="18" spans="2:13" ht="14.5">
      <c r="B18" s="198" t="s">
        <v>287</v>
      </c>
      <c r="C18" s="155">
        <v>2384</v>
      </c>
      <c r="D18" s="155">
        <v>2027</v>
      </c>
      <c r="E18" s="155">
        <v>890</v>
      </c>
      <c r="F18" s="155">
        <v>518</v>
      </c>
      <c r="G18" s="155"/>
      <c r="H18" s="155"/>
      <c r="I18" s="155"/>
      <c r="J18" s="155"/>
      <c r="K18" s="155"/>
      <c r="L18" s="155"/>
      <c r="M18" s="155"/>
    </row>
    <row r="19" spans="2:13" ht="14.5">
      <c r="B19" s="198" t="s">
        <v>288</v>
      </c>
      <c r="C19" s="155">
        <v>7976</v>
      </c>
      <c r="D19" s="155">
        <v>7176</v>
      </c>
      <c r="E19" s="155">
        <v>10945</v>
      </c>
      <c r="F19" s="155">
        <v>9790</v>
      </c>
      <c r="G19" s="155"/>
      <c r="H19" s="155"/>
      <c r="I19" s="155"/>
      <c r="J19" s="155"/>
      <c r="K19" s="155"/>
      <c r="L19" s="155"/>
      <c r="M19" s="155"/>
    </row>
    <row r="20" spans="2:13" ht="14.5">
      <c r="B20" s="198" t="s">
        <v>289</v>
      </c>
      <c r="C20" s="208">
        <v>29594</v>
      </c>
      <c r="D20" s="208">
        <v>26600</v>
      </c>
      <c r="E20" s="208">
        <v>12550</v>
      </c>
      <c r="F20" s="208">
        <v>8022</v>
      </c>
      <c r="G20" s="155"/>
      <c r="H20" s="155"/>
      <c r="I20" s="155"/>
      <c r="J20" s="155"/>
      <c r="K20" s="155"/>
      <c r="L20" s="155"/>
      <c r="M20" s="155"/>
    </row>
    <row r="21" spans="2:13" ht="14.5">
      <c r="B21" s="198" t="s">
        <v>290</v>
      </c>
      <c r="C21" s="208">
        <v>19485</v>
      </c>
      <c r="D21" s="208">
        <v>17957</v>
      </c>
      <c r="E21" s="208">
        <v>17856</v>
      </c>
      <c r="F21" s="208">
        <v>14995</v>
      </c>
      <c r="G21" s="155"/>
      <c r="H21" s="155"/>
      <c r="I21" s="155"/>
      <c r="J21" s="155"/>
      <c r="K21" s="155"/>
      <c r="L21" s="155"/>
      <c r="M21" s="155"/>
    </row>
    <row r="22" spans="2:13" ht="14.5">
      <c r="B22" s="198" t="s">
        <v>291</v>
      </c>
      <c r="C22" s="155">
        <v>7703</v>
      </c>
      <c r="D22" s="155">
        <v>6717</v>
      </c>
      <c r="E22" s="155">
        <v>3957</v>
      </c>
      <c r="F22" s="155">
        <v>1981</v>
      </c>
      <c r="G22" s="155"/>
      <c r="H22" s="155"/>
      <c r="I22" s="155"/>
      <c r="J22" s="155"/>
      <c r="K22" s="155"/>
      <c r="L22" s="155"/>
      <c r="M22" s="155"/>
    </row>
    <row r="23" spans="2:13" ht="14.5">
      <c r="B23" s="198" t="s">
        <v>292</v>
      </c>
      <c r="C23" s="155">
        <v>12334</v>
      </c>
      <c r="D23" s="155">
        <v>11363</v>
      </c>
      <c r="E23" s="155">
        <v>26297</v>
      </c>
      <c r="F23" s="155">
        <v>21383</v>
      </c>
      <c r="G23" s="155"/>
      <c r="H23" s="155"/>
      <c r="I23" s="155"/>
      <c r="J23" s="155"/>
      <c r="K23" s="155"/>
      <c r="L23" s="155"/>
      <c r="M23" s="155"/>
    </row>
    <row r="24" spans="2:13">
      <c r="B24" s="209"/>
      <c r="C24" s="155"/>
      <c r="D24" s="155"/>
      <c r="E24" s="155"/>
      <c r="F24" s="155"/>
      <c r="G24" s="155"/>
      <c r="H24" s="155"/>
      <c r="I24" s="155"/>
      <c r="J24" s="155"/>
      <c r="K24" s="155"/>
      <c r="L24" s="155"/>
      <c r="M24" s="155"/>
    </row>
    <row r="25" spans="2:13" ht="14.5">
      <c r="B25" s="198" t="s">
        <v>293</v>
      </c>
      <c r="C25" s="208">
        <v>113293</v>
      </c>
      <c r="D25" s="208">
        <v>96892</v>
      </c>
      <c r="E25" s="208">
        <v>8251306</v>
      </c>
      <c r="F25" s="208">
        <v>8246033</v>
      </c>
      <c r="G25" s="155"/>
      <c r="H25" s="155"/>
      <c r="I25" s="155"/>
      <c r="J25" s="155"/>
      <c r="K25" s="155"/>
      <c r="L25" s="155"/>
      <c r="M25" s="155"/>
    </row>
  </sheetData>
  <mergeCells count="1">
    <mergeCell ref="B3:F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O41"/>
  <sheetViews>
    <sheetView zoomScale="80" zoomScaleNormal="80" workbookViewId="0">
      <selection activeCell="K19" sqref="K19"/>
    </sheetView>
  </sheetViews>
  <sheetFormatPr defaultColWidth="10.6640625" defaultRowHeight="14"/>
  <cols>
    <col min="2" max="2" width="6.75" customWidth="1"/>
    <col min="3" max="3" width="13.58203125" customWidth="1"/>
    <col min="4" max="4" width="12" customWidth="1"/>
    <col min="6" max="6" width="11.25" customWidth="1"/>
  </cols>
  <sheetData>
    <row r="2" spans="2:15">
      <c r="B2" s="85"/>
      <c r="C2" s="85"/>
      <c r="D2" s="85"/>
      <c r="E2" s="85"/>
      <c r="F2" s="85"/>
      <c r="G2" s="85"/>
      <c r="H2" s="85"/>
      <c r="I2" s="85"/>
      <c r="J2" s="85"/>
      <c r="K2" s="85"/>
      <c r="L2" s="85"/>
      <c r="M2" s="85"/>
      <c r="N2" s="85"/>
      <c r="O2" s="85"/>
    </row>
    <row r="3" spans="2:15" ht="15.65" customHeight="1" thickBot="1">
      <c r="B3" s="85"/>
      <c r="C3" s="153" t="s">
        <v>258</v>
      </c>
      <c r="D3" s="85"/>
      <c r="E3" s="85"/>
      <c r="F3" s="85"/>
      <c r="G3" s="85"/>
      <c r="H3" s="85"/>
      <c r="I3" s="85"/>
      <c r="J3" s="85"/>
      <c r="K3" s="85"/>
      <c r="L3" s="85"/>
      <c r="M3" s="85"/>
      <c r="N3" s="85"/>
      <c r="O3" s="85"/>
    </row>
    <row r="4" spans="2:15" ht="81">
      <c r="B4" s="85"/>
      <c r="C4" s="86" t="s">
        <v>222</v>
      </c>
      <c r="D4" s="87" t="s">
        <v>223</v>
      </c>
      <c r="E4" s="88" t="s">
        <v>224</v>
      </c>
      <c r="F4" s="89" t="s">
        <v>225</v>
      </c>
      <c r="G4" s="89" t="s">
        <v>226</v>
      </c>
      <c r="H4" s="89" t="s">
        <v>227</v>
      </c>
      <c r="I4" s="88" t="s">
        <v>228</v>
      </c>
      <c r="J4" s="88" t="s">
        <v>229</v>
      </c>
      <c r="K4" s="90" t="s">
        <v>230</v>
      </c>
      <c r="L4" s="90" t="s">
        <v>231</v>
      </c>
      <c r="M4" s="90" t="s">
        <v>232</v>
      </c>
      <c r="N4" s="91" t="s">
        <v>233</v>
      </c>
      <c r="O4" s="85"/>
    </row>
    <row r="5" spans="2:15">
      <c r="B5" s="85"/>
      <c r="C5" s="92"/>
      <c r="D5" s="93" t="s">
        <v>234</v>
      </c>
      <c r="E5" s="94" t="s">
        <v>235</v>
      </c>
      <c r="F5" s="192" t="s">
        <v>264</v>
      </c>
      <c r="G5" s="94"/>
      <c r="H5" s="94"/>
      <c r="I5" s="94" t="s">
        <v>236</v>
      </c>
      <c r="J5" s="94" t="s">
        <v>237</v>
      </c>
      <c r="K5" s="94" t="s">
        <v>238</v>
      </c>
      <c r="L5" s="95" t="s">
        <v>239</v>
      </c>
      <c r="M5" s="94" t="s">
        <v>238</v>
      </c>
      <c r="N5" s="95" t="s">
        <v>239</v>
      </c>
      <c r="O5" s="85"/>
    </row>
    <row r="6" spans="2:15">
      <c r="B6" s="85"/>
      <c r="C6" s="151" t="s">
        <v>51</v>
      </c>
      <c r="D6" s="96" t="e">
        <f>'Anexo 3C4'!#REF!</f>
        <v>#REF!</v>
      </c>
      <c r="E6" s="97">
        <v>0.01</v>
      </c>
      <c r="F6" s="98" t="e">
        <f>D6*E6*(44/28)*(10^-6)</f>
        <v>#REF!</v>
      </c>
      <c r="G6" s="99">
        <v>310</v>
      </c>
      <c r="H6" s="100" t="e">
        <f>F6*G6</f>
        <v>#REF!</v>
      </c>
      <c r="I6" s="97">
        <v>0.3</v>
      </c>
      <c r="J6" s="97">
        <v>7.4999999999999997E-3</v>
      </c>
      <c r="K6" s="101" t="e">
        <f>D6*I6*J6*(44/28)*(10^-6)</f>
        <v>#REF!</v>
      </c>
      <c r="L6" s="102" t="e">
        <f>K6*G6</f>
        <v>#REF!</v>
      </c>
      <c r="M6" s="103" t="e">
        <f>F6+K6</f>
        <v>#REF!</v>
      </c>
      <c r="N6" s="104" t="e">
        <f>M6*G6</f>
        <v>#REF!</v>
      </c>
      <c r="O6" s="85"/>
    </row>
    <row r="7" spans="2:15">
      <c r="B7" s="85"/>
      <c r="C7" s="151" t="s">
        <v>52</v>
      </c>
      <c r="D7" s="96" t="e">
        <f>'Anexo 3C4'!#REF!</f>
        <v>#REF!</v>
      </c>
      <c r="E7" s="97">
        <v>0.01</v>
      </c>
      <c r="F7" s="98" t="e">
        <f>D7*E7*(44/28)*(10^-6)</f>
        <v>#REF!</v>
      </c>
      <c r="G7" s="99">
        <v>310</v>
      </c>
      <c r="H7" s="100" t="e">
        <f>F7*G7</f>
        <v>#REF!</v>
      </c>
      <c r="I7" s="97">
        <v>0.3</v>
      </c>
      <c r="J7" s="97">
        <v>7.4999999999999997E-3</v>
      </c>
      <c r="K7" s="100" t="e">
        <f>D7*I7*J7*(44/28)*(10^-6)</f>
        <v>#REF!</v>
      </c>
      <c r="L7" s="102" t="e">
        <f>K7*G7</f>
        <v>#REF!</v>
      </c>
      <c r="M7" s="103" t="e">
        <f>F7+K7</f>
        <v>#REF!</v>
      </c>
      <c r="N7" s="104" t="e">
        <f>M7*G7</f>
        <v>#REF!</v>
      </c>
      <c r="O7" s="85"/>
    </row>
    <row r="8" spans="2:15">
      <c r="B8" s="85"/>
      <c r="C8" s="151" t="s">
        <v>53</v>
      </c>
      <c r="D8" s="96" t="e">
        <f>'Anexo 3C4'!#REF!</f>
        <v>#REF!</v>
      </c>
      <c r="E8" s="97">
        <v>0.01</v>
      </c>
      <c r="F8" s="98" t="e">
        <f>D8*E8*(44/28)*(10^-6)</f>
        <v>#REF!</v>
      </c>
      <c r="G8" s="99">
        <v>310</v>
      </c>
      <c r="H8" s="100" t="e">
        <f>F8*G8</f>
        <v>#REF!</v>
      </c>
      <c r="I8" s="97">
        <v>0.3</v>
      </c>
      <c r="J8" s="97">
        <v>7.4999999999999997E-3</v>
      </c>
      <c r="K8" s="100" t="e">
        <f>D8*I8*J8*(44/28)*(10^-6)</f>
        <v>#REF!</v>
      </c>
      <c r="L8" s="102" t="e">
        <f>K8*G8</f>
        <v>#REF!</v>
      </c>
      <c r="M8" s="103" t="e">
        <f>F8+K8</f>
        <v>#REF!</v>
      </c>
      <c r="N8" s="104" t="e">
        <f>M8*G8</f>
        <v>#REF!</v>
      </c>
      <c r="O8" s="85"/>
    </row>
    <row r="9" spans="2:15" ht="14.5" thickBot="1">
      <c r="B9" s="85"/>
      <c r="C9" s="152" t="s">
        <v>54</v>
      </c>
      <c r="D9" s="105" t="e">
        <f>'Anexo 3C4'!#REF!</f>
        <v>#REF!</v>
      </c>
      <c r="E9" s="106">
        <v>0.01</v>
      </c>
      <c r="F9" s="107" t="e">
        <f>D9*E9*(44/28)*(10^-6)</f>
        <v>#REF!</v>
      </c>
      <c r="G9" s="108">
        <v>310</v>
      </c>
      <c r="H9" s="109" t="e">
        <f>F9*G9</f>
        <v>#REF!</v>
      </c>
      <c r="I9" s="106">
        <v>0.3</v>
      </c>
      <c r="J9" s="106">
        <v>7.4999999999999997E-3</v>
      </c>
      <c r="K9" s="109" t="e">
        <f>D9*I9*J9*(44/28)*(10^-6)</f>
        <v>#REF!</v>
      </c>
      <c r="L9" s="110" t="e">
        <f>K9*G9</f>
        <v>#REF!</v>
      </c>
      <c r="M9" s="111" t="e">
        <f>F9+K9</f>
        <v>#REF!</v>
      </c>
      <c r="N9" s="112" t="e">
        <f>M9*G9</f>
        <v>#REF!</v>
      </c>
      <c r="O9" s="85"/>
    </row>
    <row r="10" spans="2:15" ht="14.5" thickBot="1">
      <c r="B10" s="85"/>
      <c r="C10" s="134"/>
      <c r="D10" s="143"/>
      <c r="E10" s="144"/>
      <c r="F10" s="150" t="e">
        <f>SUM(F6:F9)</f>
        <v>#REF!</v>
      </c>
      <c r="G10" s="146"/>
      <c r="H10" s="150" t="e">
        <f>SUM(H6:H9)</f>
        <v>#REF!</v>
      </c>
      <c r="I10" s="144"/>
      <c r="J10" s="144"/>
      <c r="K10" s="150" t="e">
        <f>SUM(K6:K9)</f>
        <v>#REF!</v>
      </c>
      <c r="L10" s="150" t="e">
        <f>SUM(L6:L9)</f>
        <v>#REF!</v>
      </c>
      <c r="M10" s="150" t="e">
        <f>SUM(M6:M9)</f>
        <v>#REF!</v>
      </c>
      <c r="N10" s="150" t="e">
        <f>SUM(N6:N9)</f>
        <v>#REF!</v>
      </c>
      <c r="O10" s="85"/>
    </row>
    <row r="11" spans="2:15" ht="27.65" customHeight="1">
      <c r="B11" s="85"/>
      <c r="C11" s="134"/>
      <c r="D11" s="143"/>
      <c r="E11" s="144"/>
      <c r="F11" s="145"/>
      <c r="G11" s="146"/>
      <c r="H11" s="147"/>
      <c r="I11" s="144"/>
      <c r="J11" s="144"/>
      <c r="K11" s="147"/>
      <c r="L11" s="148"/>
      <c r="M11" s="149"/>
      <c r="N11" s="138"/>
      <c r="O11" s="85"/>
    </row>
    <row r="12" spans="2:15" ht="16" thickBot="1">
      <c r="B12" s="85"/>
      <c r="C12" s="153" t="s">
        <v>257</v>
      </c>
      <c r="D12" s="94"/>
      <c r="E12" s="85"/>
      <c r="F12" s="85"/>
      <c r="G12" s="85"/>
      <c r="H12" s="85"/>
      <c r="I12" s="85"/>
      <c r="J12" s="85"/>
      <c r="K12" s="85"/>
      <c r="L12" s="85"/>
      <c r="M12" s="85"/>
      <c r="N12" s="85"/>
      <c r="O12" s="85"/>
    </row>
    <row r="13" spans="2:15" ht="79" customHeight="1">
      <c r="B13" s="85"/>
      <c r="C13" s="86" t="s">
        <v>222</v>
      </c>
      <c r="D13" s="88" t="s">
        <v>241</v>
      </c>
      <c r="E13" s="88" t="s">
        <v>242</v>
      </c>
      <c r="F13" s="88" t="s">
        <v>245</v>
      </c>
      <c r="G13" s="88" t="s">
        <v>247</v>
      </c>
      <c r="H13" s="88" t="s">
        <v>247</v>
      </c>
      <c r="I13" s="126" t="s">
        <v>250</v>
      </c>
      <c r="J13" s="126" t="s">
        <v>251</v>
      </c>
      <c r="K13" s="88" t="s">
        <v>252</v>
      </c>
      <c r="L13" s="88" t="s">
        <v>253</v>
      </c>
      <c r="M13" s="127" t="s">
        <v>256</v>
      </c>
      <c r="N13" s="85"/>
      <c r="O13" s="85"/>
    </row>
    <row r="14" spans="2:15" ht="20.5" customHeight="1">
      <c r="B14" s="85"/>
      <c r="C14" s="128"/>
      <c r="D14" s="118" t="s">
        <v>243</v>
      </c>
      <c r="E14" s="118" t="s">
        <v>244</v>
      </c>
      <c r="F14" s="119" t="s">
        <v>246</v>
      </c>
      <c r="G14" s="120" t="s">
        <v>248</v>
      </c>
      <c r="H14" s="120" t="s">
        <v>249</v>
      </c>
      <c r="I14" s="121" t="s">
        <v>239</v>
      </c>
      <c r="J14" s="121" t="s">
        <v>239</v>
      </c>
      <c r="K14" s="119" t="s">
        <v>254</v>
      </c>
      <c r="L14" s="119" t="s">
        <v>255</v>
      </c>
      <c r="M14" s="129" t="s">
        <v>239</v>
      </c>
      <c r="N14" s="85"/>
      <c r="O14" s="85"/>
    </row>
    <row r="15" spans="2:15">
      <c r="B15" s="85"/>
      <c r="C15" s="151" t="s">
        <v>51</v>
      </c>
      <c r="D15" s="122" t="e">
        <f>'Anexo 3C4'!#REF!</f>
        <v>#REF!</v>
      </c>
      <c r="E15" s="120">
        <v>4</v>
      </c>
      <c r="F15" s="123" t="e">
        <f>D15*E15</f>
        <v>#REF!</v>
      </c>
      <c r="G15" s="124">
        <v>7.0000000000000007E-2</v>
      </c>
      <c r="H15" s="124">
        <v>2.7</v>
      </c>
      <c r="I15" s="125" t="e">
        <f>$F15*G15*10^-6</f>
        <v>#REF!</v>
      </c>
      <c r="J15" s="125" t="e">
        <f>$F15*H15*10^-6</f>
        <v>#REF!</v>
      </c>
      <c r="K15" s="120">
        <v>310</v>
      </c>
      <c r="L15" s="120">
        <v>21</v>
      </c>
      <c r="M15" s="104" t="e">
        <f>(I15*K15)+(J15*L15)</f>
        <v>#REF!</v>
      </c>
      <c r="N15" s="85"/>
      <c r="O15" s="85"/>
    </row>
    <row r="16" spans="2:15">
      <c r="B16" s="85"/>
      <c r="C16" s="151" t="s">
        <v>52</v>
      </c>
      <c r="D16" s="122" t="e">
        <f>'Anexo 3C4'!#REF!</f>
        <v>#REF!</v>
      </c>
      <c r="E16" s="120">
        <v>10</v>
      </c>
      <c r="F16" s="123" t="e">
        <f>D16*E16</f>
        <v>#REF!</v>
      </c>
      <c r="G16" s="124">
        <v>7.0000000000000007E-2</v>
      </c>
      <c r="H16" s="124">
        <v>2.7</v>
      </c>
      <c r="I16" s="125" t="e">
        <f t="shared" ref="I16:J18" si="0">$F16*G16*10^-6</f>
        <v>#REF!</v>
      </c>
      <c r="J16" s="125" t="e">
        <f t="shared" si="0"/>
        <v>#REF!</v>
      </c>
      <c r="K16" s="120">
        <v>310</v>
      </c>
      <c r="L16" s="120">
        <v>21</v>
      </c>
      <c r="M16" s="104" t="e">
        <f>(I16*K16)+(J16*L16)</f>
        <v>#REF!</v>
      </c>
      <c r="N16" s="85"/>
      <c r="O16" s="85"/>
    </row>
    <row r="17" spans="2:15">
      <c r="B17" s="85"/>
      <c r="C17" s="151" t="s">
        <v>53</v>
      </c>
      <c r="D17" s="122" t="e">
        <f>'Anexo 3C4'!#REF!</f>
        <v>#REF!</v>
      </c>
      <c r="E17" s="120">
        <v>5.5</v>
      </c>
      <c r="F17" s="123" t="e">
        <f>D17*E17</f>
        <v>#REF!</v>
      </c>
      <c r="G17" s="124">
        <v>7.0000000000000007E-2</v>
      </c>
      <c r="H17" s="124">
        <v>2.7</v>
      </c>
      <c r="I17" s="125" t="e">
        <f t="shared" si="0"/>
        <v>#REF!</v>
      </c>
      <c r="J17" s="125" t="e">
        <f t="shared" si="0"/>
        <v>#REF!</v>
      </c>
      <c r="K17" s="120">
        <v>310</v>
      </c>
      <c r="L17" s="120">
        <v>21</v>
      </c>
      <c r="M17" s="104" t="e">
        <f>(I17*K17)+(J17*L17)</f>
        <v>#REF!</v>
      </c>
      <c r="N17" s="85"/>
      <c r="O17" s="85"/>
    </row>
    <row r="18" spans="2:15" ht="14.5" thickBot="1">
      <c r="B18" s="85"/>
      <c r="C18" s="152" t="s">
        <v>54</v>
      </c>
      <c r="D18" s="130" t="e">
        <f>'Anexo 3C4'!#REF!</f>
        <v>#REF!</v>
      </c>
      <c r="E18" s="131">
        <v>6.5</v>
      </c>
      <c r="F18" s="132" t="e">
        <f>D18*E18</f>
        <v>#REF!</v>
      </c>
      <c r="G18" s="133">
        <v>7.0000000000000007E-2</v>
      </c>
      <c r="H18" s="133">
        <v>2.7</v>
      </c>
      <c r="I18" s="139" t="e">
        <f t="shared" si="0"/>
        <v>#REF!</v>
      </c>
      <c r="J18" s="139" t="e">
        <f t="shared" si="0"/>
        <v>#REF!</v>
      </c>
      <c r="K18" s="131">
        <v>310</v>
      </c>
      <c r="L18" s="131">
        <v>21</v>
      </c>
      <c r="M18" s="140" t="e">
        <f>(I18*K18)+(J18*L18)</f>
        <v>#REF!</v>
      </c>
      <c r="N18" s="85"/>
      <c r="O18" s="85"/>
    </row>
    <row r="19" spans="2:15" ht="14.5" thickBot="1">
      <c r="B19" s="85"/>
      <c r="C19" s="134"/>
      <c r="D19" s="135"/>
      <c r="E19" s="85"/>
      <c r="F19" s="136"/>
      <c r="G19" s="137"/>
      <c r="H19" s="137"/>
      <c r="I19" s="141" t="e">
        <f>SUM(I15:I18)</f>
        <v>#REF!</v>
      </c>
      <c r="J19" s="141" t="e">
        <f>SUM(J15:J18)</f>
        <v>#REF!</v>
      </c>
      <c r="K19" s="142"/>
      <c r="L19" s="142"/>
      <c r="M19" s="141" t="e">
        <f>SUM(M15:M18)</f>
        <v>#REF!</v>
      </c>
      <c r="N19" s="85"/>
      <c r="O19" s="85"/>
    </row>
    <row r="20" spans="2:15">
      <c r="B20" s="85"/>
      <c r="C20" s="85"/>
      <c r="D20" s="85"/>
      <c r="E20" s="85"/>
      <c r="F20" s="85"/>
      <c r="G20" s="85"/>
      <c r="H20" s="85"/>
      <c r="I20" s="85"/>
      <c r="J20" s="85"/>
      <c r="K20" s="85"/>
      <c r="L20" s="85"/>
      <c r="M20" s="85"/>
      <c r="N20" s="85"/>
      <c r="O20" s="85"/>
    </row>
    <row r="21" spans="2:15">
      <c r="B21" s="85"/>
      <c r="C21" s="85"/>
      <c r="D21" s="85"/>
      <c r="E21" s="85"/>
      <c r="F21" s="85"/>
      <c r="G21" s="85"/>
      <c r="H21" s="85"/>
      <c r="I21" s="85"/>
      <c r="J21" s="85"/>
      <c r="K21" s="85"/>
      <c r="L21" s="85"/>
      <c r="M21" s="85"/>
      <c r="N21" s="85"/>
      <c r="O21" s="85"/>
    </row>
    <row r="22" spans="2:15">
      <c r="B22" s="85"/>
      <c r="C22" s="85"/>
      <c r="D22" s="85"/>
      <c r="E22" s="85"/>
      <c r="F22" s="85"/>
      <c r="G22" s="85"/>
      <c r="H22" s="85"/>
      <c r="I22" s="85"/>
      <c r="J22" s="85"/>
      <c r="K22" s="85"/>
      <c r="L22" s="85"/>
      <c r="M22" s="85"/>
      <c r="N22" s="85"/>
      <c r="O22" s="85"/>
    </row>
    <row r="23" spans="2:15">
      <c r="B23" s="85"/>
      <c r="C23" s="85"/>
      <c r="D23" s="85"/>
      <c r="E23" s="85"/>
      <c r="F23" s="85"/>
      <c r="G23" s="85"/>
      <c r="H23" s="85"/>
      <c r="I23" s="85"/>
      <c r="J23" s="85"/>
      <c r="K23" s="85"/>
      <c r="L23" s="85"/>
      <c r="M23" s="85"/>
      <c r="N23" s="85"/>
      <c r="O23" s="85"/>
    </row>
    <row r="24" spans="2:15">
      <c r="B24" s="85"/>
      <c r="C24" s="85"/>
      <c r="D24" s="85"/>
      <c r="E24" s="85"/>
      <c r="F24" s="85"/>
      <c r="G24" s="85"/>
      <c r="H24" s="85"/>
      <c r="I24" s="85"/>
      <c r="J24" s="85"/>
      <c r="K24" s="85"/>
      <c r="L24" s="85"/>
      <c r="M24" s="85"/>
      <c r="N24" s="85"/>
      <c r="O24" s="85"/>
    </row>
    <row r="25" spans="2:15">
      <c r="B25" s="85"/>
      <c r="C25" s="85"/>
      <c r="D25" s="85"/>
      <c r="E25" s="85"/>
      <c r="F25" s="85"/>
      <c r="G25" s="85"/>
      <c r="H25" s="85"/>
      <c r="I25" s="85"/>
      <c r="J25" s="85"/>
      <c r="K25" s="85"/>
      <c r="L25" s="85"/>
      <c r="M25" s="85"/>
      <c r="N25" s="85"/>
      <c r="O25" s="85"/>
    </row>
    <row r="26" spans="2:15">
      <c r="B26" s="85"/>
      <c r="C26" s="85"/>
      <c r="D26" s="85"/>
      <c r="E26" s="85"/>
      <c r="F26" s="85"/>
      <c r="G26" s="85"/>
      <c r="H26" s="85"/>
      <c r="I26" s="85"/>
      <c r="J26" s="85"/>
      <c r="K26" s="85"/>
      <c r="L26" s="85"/>
      <c r="M26" s="85"/>
      <c r="N26" s="85"/>
      <c r="O26" s="85"/>
    </row>
    <row r="27" spans="2:15">
      <c r="B27" s="85"/>
      <c r="C27" s="85"/>
      <c r="D27" s="85"/>
      <c r="E27" s="85"/>
      <c r="F27" s="85"/>
      <c r="G27" s="85"/>
      <c r="H27" s="85"/>
      <c r="I27" s="85"/>
      <c r="J27" s="85"/>
      <c r="K27" s="85"/>
      <c r="L27" s="85"/>
      <c r="M27" s="85"/>
      <c r="N27" s="85"/>
      <c r="O27" s="85"/>
    </row>
    <row r="28" spans="2:15">
      <c r="B28" s="85"/>
      <c r="C28" s="85"/>
      <c r="D28" s="85"/>
      <c r="E28" s="85"/>
      <c r="F28" s="85"/>
      <c r="G28" s="85"/>
      <c r="H28" s="85"/>
      <c r="I28" s="85"/>
      <c r="J28" s="85"/>
      <c r="K28" s="85"/>
      <c r="L28" s="85"/>
      <c r="M28" s="85"/>
      <c r="N28" s="85"/>
      <c r="O28" s="85"/>
    </row>
    <row r="29" spans="2:15">
      <c r="B29" s="85"/>
      <c r="C29" s="85"/>
      <c r="D29" s="85"/>
      <c r="E29" s="85"/>
      <c r="F29" s="85"/>
      <c r="G29" s="85"/>
      <c r="H29" s="85"/>
      <c r="I29" s="85"/>
      <c r="J29" s="85"/>
      <c r="K29" s="85"/>
      <c r="L29" s="85"/>
      <c r="M29" s="85"/>
      <c r="N29" s="85"/>
      <c r="O29" s="85"/>
    </row>
    <row r="30" spans="2:15">
      <c r="B30" s="85"/>
      <c r="C30" s="85"/>
      <c r="D30" s="85"/>
      <c r="E30" s="85"/>
      <c r="F30" s="85"/>
      <c r="G30" s="85"/>
      <c r="H30" s="85"/>
      <c r="I30" s="85"/>
      <c r="J30" s="85"/>
      <c r="K30" s="85"/>
      <c r="L30" s="85"/>
      <c r="M30" s="85"/>
      <c r="N30" s="85"/>
      <c r="O30" s="85"/>
    </row>
    <row r="31" spans="2:15">
      <c r="B31" s="85"/>
      <c r="C31" s="85"/>
      <c r="D31" s="85"/>
      <c r="E31" s="85"/>
      <c r="F31" s="85"/>
      <c r="G31" s="85"/>
      <c r="H31" s="85"/>
      <c r="I31" s="85"/>
      <c r="J31" s="85"/>
      <c r="K31" s="85"/>
      <c r="L31" s="85"/>
      <c r="M31" s="85"/>
      <c r="N31" s="85"/>
      <c r="O31" s="85"/>
    </row>
    <row r="32" spans="2:15">
      <c r="B32" s="85"/>
      <c r="C32" s="85"/>
      <c r="D32" s="85"/>
      <c r="E32" s="85"/>
      <c r="F32" s="85"/>
      <c r="G32" s="85"/>
      <c r="H32" s="85"/>
      <c r="I32" s="85"/>
      <c r="J32" s="85"/>
      <c r="K32" s="85"/>
      <c r="L32" s="85"/>
      <c r="M32" s="85"/>
      <c r="N32" s="85"/>
      <c r="O32" s="85"/>
    </row>
    <row r="33" spans="2:15">
      <c r="B33" s="85"/>
      <c r="C33" s="85"/>
      <c r="D33" s="85"/>
      <c r="E33" s="85"/>
      <c r="F33" s="85"/>
      <c r="G33" s="85"/>
      <c r="H33" s="85"/>
      <c r="I33" s="85"/>
      <c r="J33" s="85"/>
      <c r="K33" s="85"/>
      <c r="L33" s="85"/>
      <c r="M33" s="85"/>
      <c r="N33" s="85"/>
      <c r="O33" s="85"/>
    </row>
    <row r="34" spans="2:15">
      <c r="B34" s="85"/>
      <c r="C34" s="85"/>
      <c r="D34" s="85"/>
      <c r="E34" s="85"/>
      <c r="F34" s="85"/>
      <c r="G34" s="85"/>
      <c r="H34" s="85"/>
      <c r="I34" s="85"/>
      <c r="J34" s="85"/>
      <c r="K34" s="85"/>
      <c r="L34" s="85"/>
      <c r="M34" s="85"/>
      <c r="N34" s="85"/>
      <c r="O34" s="85"/>
    </row>
    <row r="35" spans="2:15">
      <c r="B35" s="85"/>
      <c r="C35" s="85"/>
      <c r="D35" s="85"/>
      <c r="E35" s="85"/>
      <c r="F35" s="85"/>
      <c r="G35" s="85"/>
      <c r="H35" s="85"/>
      <c r="I35" s="85"/>
      <c r="J35" s="85"/>
      <c r="K35" s="85"/>
      <c r="L35" s="85"/>
      <c r="M35" s="85"/>
      <c r="N35" s="85"/>
      <c r="O35" s="85"/>
    </row>
    <row r="36" spans="2:15">
      <c r="B36" s="85"/>
      <c r="C36" s="85"/>
      <c r="D36" s="85"/>
      <c r="E36" s="85"/>
      <c r="F36" s="85"/>
      <c r="G36" s="85"/>
      <c r="H36" s="85"/>
      <c r="I36" s="85"/>
      <c r="J36" s="85"/>
      <c r="K36" s="85"/>
      <c r="L36" s="85"/>
      <c r="M36" s="85"/>
      <c r="N36" s="85"/>
      <c r="O36" s="85"/>
    </row>
    <row r="37" spans="2:15">
      <c r="B37" s="85"/>
      <c r="C37" s="85"/>
      <c r="D37" s="85"/>
      <c r="E37" s="85"/>
      <c r="F37" s="85"/>
      <c r="G37" s="85"/>
      <c r="H37" s="85"/>
      <c r="I37" s="85"/>
      <c r="J37" s="85"/>
      <c r="K37" s="85"/>
      <c r="L37" s="85"/>
      <c r="M37" s="85"/>
      <c r="N37" s="85"/>
      <c r="O37" s="85"/>
    </row>
    <row r="38" spans="2:15">
      <c r="B38" s="85"/>
      <c r="C38" s="85"/>
      <c r="D38" s="85"/>
      <c r="E38" s="85"/>
      <c r="F38" s="85"/>
      <c r="G38" s="85"/>
      <c r="H38" s="85"/>
      <c r="I38" s="85"/>
      <c r="J38" s="85"/>
      <c r="K38" s="85"/>
      <c r="L38" s="85"/>
      <c r="M38" s="85"/>
      <c r="N38" s="85"/>
      <c r="O38" s="85"/>
    </row>
    <row r="39" spans="2:15">
      <c r="B39" s="85"/>
      <c r="C39" s="85"/>
      <c r="D39" s="85"/>
      <c r="E39" s="85"/>
      <c r="F39" s="85"/>
      <c r="G39" s="85"/>
      <c r="H39" s="85"/>
      <c r="I39" s="85"/>
      <c r="J39" s="85"/>
      <c r="K39" s="85"/>
      <c r="L39" s="85"/>
      <c r="M39" s="85"/>
      <c r="N39" s="85"/>
      <c r="O39" s="85"/>
    </row>
    <row r="40" spans="2:15">
      <c r="B40" s="85"/>
      <c r="C40" s="85"/>
      <c r="D40" s="85"/>
      <c r="E40" s="85"/>
      <c r="F40" s="85"/>
      <c r="G40" s="85"/>
      <c r="H40" s="85"/>
      <c r="I40" s="85"/>
      <c r="J40" s="85"/>
      <c r="K40" s="85"/>
      <c r="L40" s="85"/>
      <c r="M40" s="85"/>
      <c r="N40" s="85"/>
      <c r="O40" s="85"/>
    </row>
    <row r="41" spans="2:15">
      <c r="B41" s="85"/>
      <c r="C41" s="85"/>
      <c r="D41" s="85"/>
      <c r="E41" s="85"/>
      <c r="F41" s="85"/>
      <c r="G41" s="85"/>
      <c r="H41" s="85"/>
      <c r="I41" s="85"/>
      <c r="J41" s="85"/>
      <c r="K41" s="85"/>
      <c r="L41" s="85"/>
      <c r="M41" s="85"/>
      <c r="N41" s="85"/>
      <c r="O41" s="85"/>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U82"/>
  <sheetViews>
    <sheetView showGridLines="0" topLeftCell="A17" zoomScale="70" zoomScaleNormal="70" workbookViewId="0">
      <selection activeCell="E17" sqref="E17:E20"/>
    </sheetView>
  </sheetViews>
  <sheetFormatPr defaultColWidth="8" defaultRowHeight="12.5"/>
  <cols>
    <col min="1" max="1" width="10" style="155" customWidth="1"/>
    <col min="2" max="13" width="15.33203125" style="155" customWidth="1"/>
    <col min="14" max="15" width="8" style="155" customWidth="1"/>
    <col min="16" max="16" width="13.1640625" style="155" hidden="1" customWidth="1"/>
    <col min="17" max="17" width="12.1640625" style="155" hidden="1" customWidth="1"/>
    <col min="18" max="18" width="13" style="155" hidden="1" customWidth="1"/>
    <col min="19" max="19" width="11.75" style="155" hidden="1" customWidth="1"/>
    <col min="20" max="20" width="10.5" style="155" hidden="1" customWidth="1"/>
    <col min="21" max="21" width="11.75" style="155" hidden="1" customWidth="1"/>
    <col min="22" max="22" width="8" style="155"/>
    <col min="23" max="23" width="8" style="155" customWidth="1"/>
    <col min="24" max="16384" width="8" style="155"/>
  </cols>
  <sheetData>
    <row r="1" spans="2:21" ht="13" thickBot="1"/>
    <row r="2" spans="2:21" ht="13" thickBot="1">
      <c r="B2" s="2831" t="s">
        <v>82</v>
      </c>
      <c r="C2" s="2832"/>
      <c r="D2" s="2776" t="s">
        <v>1025</v>
      </c>
      <c r="E2" s="2777"/>
      <c r="F2" s="2777"/>
      <c r="G2" s="2777"/>
      <c r="H2" s="2777"/>
      <c r="I2" s="2777"/>
      <c r="J2" s="2777"/>
      <c r="K2" s="2777"/>
      <c r="L2" s="2777"/>
      <c r="M2" s="2833"/>
    </row>
    <row r="3" spans="2:21" ht="13" thickBot="1">
      <c r="B3" s="2831" t="s">
        <v>426</v>
      </c>
      <c r="C3" s="2832"/>
      <c r="D3" s="2776" t="s">
        <v>1026</v>
      </c>
      <c r="E3" s="2777"/>
      <c r="F3" s="2777"/>
      <c r="G3" s="2777"/>
      <c r="H3" s="2777"/>
      <c r="I3" s="2777"/>
      <c r="J3" s="2777"/>
      <c r="K3" s="2777"/>
      <c r="L3" s="2777"/>
      <c r="M3" s="2833"/>
    </row>
    <row r="4" spans="2:21" ht="13" thickBot="1">
      <c r="B4" s="2831" t="s">
        <v>1027</v>
      </c>
      <c r="C4" s="2832"/>
      <c r="D4" s="2776" t="s">
        <v>1028</v>
      </c>
      <c r="E4" s="2777"/>
      <c r="F4" s="2777"/>
      <c r="G4" s="2777"/>
      <c r="H4" s="2777"/>
      <c r="I4" s="2777"/>
      <c r="J4" s="2777"/>
      <c r="K4" s="2777"/>
      <c r="L4" s="2777"/>
      <c r="M4" s="2833"/>
    </row>
    <row r="5" spans="2:21" ht="13" thickBot="1">
      <c r="B5" s="2831" t="s">
        <v>428</v>
      </c>
      <c r="C5" s="2832"/>
      <c r="D5" s="2776" t="s">
        <v>1029</v>
      </c>
      <c r="E5" s="2777"/>
      <c r="F5" s="2777"/>
      <c r="G5" s="2777"/>
      <c r="H5" s="2777"/>
      <c r="I5" s="2777"/>
      <c r="J5" s="2777"/>
      <c r="K5" s="2777"/>
      <c r="L5" s="2777"/>
      <c r="M5" s="2833"/>
    </row>
    <row r="6" spans="2:21" ht="13" thickBot="1">
      <c r="B6" s="2834" t="s">
        <v>429</v>
      </c>
      <c r="C6" s="2835"/>
      <c r="D6" s="738" t="s">
        <v>477</v>
      </c>
      <c r="E6" s="2779" t="s">
        <v>1030</v>
      </c>
      <c r="F6" s="2780"/>
      <c r="G6" s="2780"/>
      <c r="H6" s="2780"/>
      <c r="I6" s="2780"/>
      <c r="J6" s="2780"/>
      <c r="K6" s="2780"/>
      <c r="L6" s="2780"/>
      <c r="M6" s="2781"/>
      <c r="P6" s="155" t="s">
        <v>1031</v>
      </c>
    </row>
    <row r="7" spans="2:21" ht="51" thickBot="1">
      <c r="B7" s="2826" t="s">
        <v>1032</v>
      </c>
      <c r="C7" s="2827"/>
      <c r="D7" s="2823" t="s">
        <v>1033</v>
      </c>
      <c r="E7" s="158" t="s">
        <v>1034</v>
      </c>
      <c r="F7" s="158" t="s">
        <v>1035</v>
      </c>
      <c r="G7" s="158" t="s">
        <v>1036</v>
      </c>
      <c r="H7" s="2829" t="s">
        <v>1037</v>
      </c>
      <c r="I7" s="2830"/>
      <c r="J7" s="158" t="s">
        <v>1038</v>
      </c>
      <c r="K7" s="158" t="s">
        <v>1039</v>
      </c>
      <c r="L7" s="158" t="s">
        <v>1040</v>
      </c>
      <c r="M7" s="158" t="s">
        <v>1041</v>
      </c>
      <c r="P7" s="739" t="s">
        <v>496</v>
      </c>
      <c r="Q7" s="740" t="s">
        <v>493</v>
      </c>
      <c r="R7" s="740" t="s">
        <v>490</v>
      </c>
      <c r="S7" s="741"/>
      <c r="T7" s="742" t="s">
        <v>491</v>
      </c>
    </row>
    <row r="8" spans="2:21" ht="29.5" customHeight="1">
      <c r="B8" s="2771" t="s">
        <v>1042</v>
      </c>
      <c r="C8" s="2771" t="s">
        <v>1043</v>
      </c>
      <c r="D8" s="2802"/>
      <c r="E8" s="2771" t="s">
        <v>137</v>
      </c>
      <c r="F8" s="2771" t="s">
        <v>207</v>
      </c>
      <c r="G8" s="2771" t="s">
        <v>115</v>
      </c>
      <c r="H8" s="2822" t="s">
        <v>1044</v>
      </c>
      <c r="I8" s="2823"/>
      <c r="J8" s="2771" t="s">
        <v>1131</v>
      </c>
      <c r="K8" s="2771" t="s">
        <v>1132</v>
      </c>
      <c r="L8" s="2771" t="s">
        <v>1133</v>
      </c>
      <c r="M8" s="2771" t="s">
        <v>1134</v>
      </c>
      <c r="P8" s="741"/>
      <c r="Q8" s="744" t="s">
        <v>195</v>
      </c>
      <c r="R8" s="744" t="s">
        <v>196</v>
      </c>
      <c r="S8" s="745" t="s">
        <v>1045</v>
      </c>
      <c r="T8" s="745" t="s">
        <v>1046</v>
      </c>
      <c r="U8" s="745" t="s">
        <v>1047</v>
      </c>
    </row>
    <row r="9" spans="2:21" ht="13.5" customHeight="1" thickBot="1">
      <c r="B9" s="2772"/>
      <c r="C9" s="2772"/>
      <c r="D9" s="2802"/>
      <c r="E9" s="2774"/>
      <c r="F9" s="2774"/>
      <c r="G9" s="2774"/>
      <c r="H9" s="2820" t="s">
        <v>1048</v>
      </c>
      <c r="I9" s="2821"/>
      <c r="J9" s="2774"/>
      <c r="K9" s="2774"/>
      <c r="L9" s="2774"/>
      <c r="M9" s="2774"/>
      <c r="P9" s="741"/>
      <c r="Q9" s="746" t="s">
        <v>240</v>
      </c>
      <c r="R9" s="746" t="s">
        <v>1049</v>
      </c>
      <c r="S9" s="747" t="s">
        <v>509</v>
      </c>
      <c r="T9" s="747" t="s">
        <v>1050</v>
      </c>
      <c r="U9" s="747" t="s">
        <v>1050</v>
      </c>
    </row>
    <row r="10" spans="2:21" ht="13.5">
      <c r="B10" s="2772"/>
      <c r="C10" s="2772"/>
      <c r="D10" s="2802"/>
      <c r="E10" s="2771"/>
      <c r="F10" s="2771" t="s">
        <v>1051</v>
      </c>
      <c r="G10" s="2771" t="s">
        <v>1052</v>
      </c>
      <c r="H10" s="2822" t="s">
        <v>1053</v>
      </c>
      <c r="I10" s="2823"/>
      <c r="J10" s="743" t="s">
        <v>1054</v>
      </c>
      <c r="K10" s="743" t="s">
        <v>1055</v>
      </c>
      <c r="L10" s="743" t="s">
        <v>1056</v>
      </c>
      <c r="M10" s="743" t="s">
        <v>1057</v>
      </c>
      <c r="P10" s="748" t="s">
        <v>51</v>
      </c>
      <c r="Q10" s="749">
        <v>6814</v>
      </c>
      <c r="R10" s="750">
        <v>1.1049132479325443</v>
      </c>
      <c r="S10" s="751">
        <v>2432.7402999999999</v>
      </c>
      <c r="T10" s="200">
        <v>6167</v>
      </c>
      <c r="U10" s="752">
        <f>S10/R10</f>
        <v>2201.7477883915467</v>
      </c>
    </row>
    <row r="11" spans="2:21" ht="28.5" thickBot="1">
      <c r="B11" s="2772"/>
      <c r="C11" s="2772"/>
      <c r="D11" s="2802"/>
      <c r="E11" s="2774"/>
      <c r="F11" s="2774"/>
      <c r="G11" s="2774"/>
      <c r="H11" s="2820"/>
      <c r="I11" s="2821"/>
      <c r="J11" s="159" t="s">
        <v>1058</v>
      </c>
      <c r="K11" s="159" t="s">
        <v>1058</v>
      </c>
      <c r="L11" s="159" t="s">
        <v>1058</v>
      </c>
      <c r="M11" s="159" t="s">
        <v>1058</v>
      </c>
      <c r="P11" s="748" t="s">
        <v>52</v>
      </c>
      <c r="Q11" s="749">
        <v>1667704</v>
      </c>
      <c r="R11" s="750">
        <v>3.2486305799484181</v>
      </c>
      <c r="S11" s="751">
        <v>485695.73560000001</v>
      </c>
      <c r="T11" s="200">
        <v>513356</v>
      </c>
      <c r="U11" s="752">
        <f>S11/R11</f>
        <v>149507.83834821623</v>
      </c>
    </row>
    <row r="12" spans="2:21" ht="14" thickBot="1">
      <c r="B12" s="2773"/>
      <c r="C12" s="2773"/>
      <c r="D12" s="2828"/>
      <c r="E12" s="160" t="s">
        <v>7</v>
      </c>
      <c r="F12" s="160" t="s">
        <v>1059</v>
      </c>
      <c r="G12" s="160" t="s">
        <v>1060</v>
      </c>
      <c r="H12" s="2824" t="s">
        <v>1061</v>
      </c>
      <c r="I12" s="2825"/>
      <c r="J12" s="160" t="s">
        <v>1062</v>
      </c>
      <c r="K12" s="160" t="s">
        <v>1063</v>
      </c>
      <c r="L12" s="160" t="s">
        <v>1064</v>
      </c>
      <c r="M12" s="160" t="s">
        <v>1065</v>
      </c>
      <c r="P12" s="748" t="s">
        <v>53</v>
      </c>
      <c r="Q12" s="749">
        <v>1379953.59107907</v>
      </c>
      <c r="R12" s="750">
        <v>3.6718471371376458</v>
      </c>
      <c r="S12" s="751">
        <v>194774.6593</v>
      </c>
      <c r="T12" s="200">
        <v>375820</v>
      </c>
      <c r="U12" s="752">
        <f>S12/R12</f>
        <v>53045.416114962449</v>
      </c>
    </row>
    <row r="13" spans="2:21" ht="14.5" thickTop="1" thickBot="1">
      <c r="B13" s="2816" t="s">
        <v>1066</v>
      </c>
      <c r="C13" s="2816" t="s">
        <v>1066</v>
      </c>
      <c r="D13" s="2816" t="s">
        <v>51</v>
      </c>
      <c r="E13" s="2804">
        <f>'Anexo 3C4'!Q9</f>
        <v>333.55846240137947</v>
      </c>
      <c r="F13" s="2807">
        <v>4</v>
      </c>
      <c r="G13" s="2816">
        <v>0.9</v>
      </c>
      <c r="H13" s="753" t="s">
        <v>1067</v>
      </c>
      <c r="I13" s="754">
        <v>2.7</v>
      </c>
      <c r="J13" s="755">
        <f>E13*F13*G13*I13*10^-3</f>
        <v>3.2421882545414089</v>
      </c>
      <c r="K13" s="756"/>
      <c r="L13" s="756"/>
      <c r="M13" s="756"/>
      <c r="P13" s="748" t="s">
        <v>188</v>
      </c>
      <c r="Q13" s="749">
        <v>8251306</v>
      </c>
      <c r="R13" s="750">
        <v>72.831560643640827</v>
      </c>
      <c r="S13" s="751">
        <v>62979.609400000001</v>
      </c>
      <c r="T13" s="741">
        <v>113293</v>
      </c>
      <c r="U13" s="752">
        <f>S13/R13</f>
        <v>864.7296425261892</v>
      </c>
    </row>
    <row r="14" spans="2:21" ht="13" thickBot="1">
      <c r="B14" s="2772"/>
      <c r="C14" s="2772"/>
      <c r="D14" s="2772"/>
      <c r="E14" s="2805"/>
      <c r="F14" s="2808"/>
      <c r="G14" s="2772"/>
      <c r="H14" s="753" t="s">
        <v>1068</v>
      </c>
      <c r="I14" s="754">
        <v>92</v>
      </c>
      <c r="J14" s="756"/>
      <c r="K14" s="755">
        <f>E13*F13*G13*I14*10^-3</f>
        <v>110.47456274733688</v>
      </c>
      <c r="L14" s="756"/>
      <c r="M14" s="756"/>
      <c r="U14" s="757">
        <f>SUM(U10:U13)</f>
        <v>205619.73189409642</v>
      </c>
    </row>
    <row r="15" spans="2:21" ht="14" thickBot="1">
      <c r="B15" s="2772"/>
      <c r="C15" s="2772"/>
      <c r="D15" s="2772"/>
      <c r="E15" s="2805"/>
      <c r="F15" s="2808"/>
      <c r="G15" s="2772"/>
      <c r="H15" s="753" t="s">
        <v>1069</v>
      </c>
      <c r="I15" s="754">
        <v>7.0000000000000007E-2</v>
      </c>
      <c r="J15" s="756"/>
      <c r="K15" s="756"/>
      <c r="L15" s="758">
        <f>E13*F13*G13*I15*10^-3</f>
        <v>8.4056732525147629E-2</v>
      </c>
      <c r="M15" s="756"/>
    </row>
    <row r="16" spans="2:21" ht="14" thickBot="1">
      <c r="B16" s="2772"/>
      <c r="C16" s="2772"/>
      <c r="D16" s="2817"/>
      <c r="E16" s="2806"/>
      <c r="F16" s="2809"/>
      <c r="G16" s="2817"/>
      <c r="H16" s="753" t="s">
        <v>1070</v>
      </c>
      <c r="I16" s="754">
        <v>2.5</v>
      </c>
      <c r="J16" s="756"/>
      <c r="K16" s="756"/>
      <c r="L16" s="756"/>
      <c r="M16" s="759">
        <f>E13*F13*G13*I16*10^-3</f>
        <v>3.0020261616124153</v>
      </c>
    </row>
    <row r="17" spans="2:13" ht="14" thickBot="1">
      <c r="B17" s="2772"/>
      <c r="C17" s="2772"/>
      <c r="D17" s="2786" t="s">
        <v>52</v>
      </c>
      <c r="E17" s="2811">
        <f>'Anexo 3C4'!Q10</f>
        <v>46154.698060501731</v>
      </c>
      <c r="F17" s="2812">
        <v>10</v>
      </c>
      <c r="G17" s="2786">
        <v>0.8</v>
      </c>
      <c r="H17" s="753" t="s">
        <v>1067</v>
      </c>
      <c r="I17" s="754">
        <v>2.7</v>
      </c>
      <c r="J17" s="755">
        <f>E17*F17*G17*I17*10^-3</f>
        <v>996.94147810683751</v>
      </c>
      <c r="K17" s="756"/>
      <c r="L17" s="756"/>
      <c r="M17" s="756"/>
    </row>
    <row r="18" spans="2:13" ht="13" thickBot="1">
      <c r="B18" s="2772"/>
      <c r="C18" s="2772"/>
      <c r="D18" s="2772"/>
      <c r="E18" s="2805"/>
      <c r="F18" s="2808"/>
      <c r="G18" s="2772"/>
      <c r="H18" s="753" t="s">
        <v>1068</v>
      </c>
      <c r="I18" s="754">
        <v>92</v>
      </c>
      <c r="J18" s="756"/>
      <c r="K18" s="755">
        <f>E17*F17*G17*I18*10^-3</f>
        <v>33969.857772529278</v>
      </c>
      <c r="L18" s="756"/>
      <c r="M18" s="756"/>
    </row>
    <row r="19" spans="2:13" ht="14" thickBot="1">
      <c r="B19" s="2772"/>
      <c r="C19" s="2772"/>
      <c r="D19" s="2772"/>
      <c r="E19" s="2805"/>
      <c r="F19" s="2808"/>
      <c r="G19" s="2772"/>
      <c r="H19" s="753" t="s">
        <v>1069</v>
      </c>
      <c r="I19" s="754">
        <v>7.0000000000000007E-2</v>
      </c>
      <c r="J19" s="756"/>
      <c r="K19" s="756"/>
      <c r="L19" s="758">
        <f>E17*F17*G17*I19*10^-3</f>
        <v>25.846630913880972</v>
      </c>
      <c r="M19" s="756"/>
    </row>
    <row r="20" spans="2:13" ht="14" thickBot="1">
      <c r="B20" s="2773"/>
      <c r="C20" s="2773"/>
      <c r="D20" s="2773"/>
      <c r="E20" s="2818"/>
      <c r="F20" s="2819"/>
      <c r="G20" s="2773"/>
      <c r="H20" s="753" t="s">
        <v>1070</v>
      </c>
      <c r="I20" s="754">
        <v>2.5</v>
      </c>
      <c r="J20" s="756"/>
      <c r="K20" s="756"/>
      <c r="L20" s="756"/>
      <c r="M20" s="759">
        <f>E17*F17*G17*I20*10^-3</f>
        <v>923.09396121003454</v>
      </c>
    </row>
    <row r="21" spans="2:13" ht="14.5" thickTop="1" thickBot="1">
      <c r="B21" s="2816" t="s">
        <v>1066</v>
      </c>
      <c r="C21" s="2816" t="s">
        <v>1066</v>
      </c>
      <c r="D21" s="2816" t="s">
        <v>53</v>
      </c>
      <c r="E21" s="2804">
        <f>'Anexo 3C4'!Q11</f>
        <v>30185.299847142101</v>
      </c>
      <c r="F21" s="2807">
        <v>5.5</v>
      </c>
      <c r="G21" s="2786">
        <v>0.8</v>
      </c>
      <c r="H21" s="753" t="s">
        <v>1071</v>
      </c>
      <c r="I21" s="754">
        <v>2.7</v>
      </c>
      <c r="J21" s="755">
        <f>E21*F21*G21*I21*10^-3</f>
        <v>358.6013621840483</v>
      </c>
      <c r="K21" s="756"/>
      <c r="L21" s="756"/>
      <c r="M21" s="756"/>
    </row>
    <row r="22" spans="2:13" ht="13" thickBot="1">
      <c r="B22" s="2772"/>
      <c r="C22" s="2772"/>
      <c r="D22" s="2772"/>
      <c r="E22" s="2805"/>
      <c r="F22" s="2808"/>
      <c r="G22" s="2772"/>
      <c r="H22" s="753" t="s">
        <v>1068</v>
      </c>
      <c r="I22" s="754">
        <v>92</v>
      </c>
      <c r="J22" s="756"/>
      <c r="K22" s="755">
        <f>E21*F21*G21*I22*10^-3</f>
        <v>12219.009378123126</v>
      </c>
      <c r="L22" s="756"/>
      <c r="M22" s="756"/>
    </row>
    <row r="23" spans="2:13" ht="14" thickBot="1">
      <c r="B23" s="2772"/>
      <c r="C23" s="2772"/>
      <c r="D23" s="2772"/>
      <c r="E23" s="2805"/>
      <c r="F23" s="2808"/>
      <c r="G23" s="2772"/>
      <c r="H23" s="753" t="s">
        <v>1069</v>
      </c>
      <c r="I23" s="754">
        <v>7.0000000000000007E-2</v>
      </c>
      <c r="J23" s="756"/>
      <c r="K23" s="756"/>
      <c r="L23" s="758">
        <f>E21*F21*G21*I23*10^-3</f>
        <v>9.2970723529197699</v>
      </c>
      <c r="M23" s="756"/>
    </row>
    <row r="24" spans="2:13" ht="14" thickBot="1">
      <c r="B24" s="2772"/>
      <c r="C24" s="2772"/>
      <c r="D24" s="2817"/>
      <c r="E24" s="2806"/>
      <c r="F24" s="2809"/>
      <c r="G24" s="2773"/>
      <c r="H24" s="753" t="s">
        <v>1070</v>
      </c>
      <c r="I24" s="754">
        <v>2.5</v>
      </c>
      <c r="J24" s="756"/>
      <c r="K24" s="756"/>
      <c r="L24" s="756"/>
      <c r="M24" s="759">
        <f>E21*F21*G21*I24*10^-3</f>
        <v>332.03829831856314</v>
      </c>
    </row>
    <row r="25" spans="2:13" ht="14" thickBot="1">
      <c r="B25" s="2772"/>
      <c r="C25" s="2772"/>
      <c r="D25" s="2786" t="s">
        <v>2214</v>
      </c>
      <c r="E25" s="2811">
        <f>'Anexo 3C4'!Q12</f>
        <v>1012.4285951074652</v>
      </c>
      <c r="F25" s="2812">
        <v>4</v>
      </c>
      <c r="G25" s="2786">
        <v>0.85</v>
      </c>
      <c r="H25" s="753" t="s">
        <v>1071</v>
      </c>
      <c r="I25" s="754">
        <v>2.7</v>
      </c>
      <c r="J25" s="755">
        <f>E25*F25*G25*I25*10^-3</f>
        <v>9.2940945030865301</v>
      </c>
      <c r="K25" s="756"/>
      <c r="L25" s="756"/>
      <c r="M25" s="756"/>
    </row>
    <row r="26" spans="2:13" ht="13" thickBot="1">
      <c r="B26" s="2772"/>
      <c r="C26" s="2772"/>
      <c r="D26" s="2772"/>
      <c r="E26" s="2805"/>
      <c r="F26" s="2808"/>
      <c r="G26" s="2772"/>
      <c r="H26" s="753" t="s">
        <v>1068</v>
      </c>
      <c r="I26" s="754">
        <v>92</v>
      </c>
      <c r="J26" s="756"/>
      <c r="K26" s="755">
        <f>E25*F25*G25*I26*10^-3</f>
        <v>316.68766454961508</v>
      </c>
      <c r="L26" s="756"/>
      <c r="M26" s="756"/>
    </row>
    <row r="27" spans="2:13" ht="14" thickBot="1">
      <c r="B27" s="2772"/>
      <c r="C27" s="2772"/>
      <c r="D27" s="2772"/>
      <c r="E27" s="2805"/>
      <c r="F27" s="2808"/>
      <c r="G27" s="2772"/>
      <c r="H27" s="753" t="s">
        <v>1069</v>
      </c>
      <c r="I27" s="754">
        <v>7.0000000000000007E-2</v>
      </c>
      <c r="J27" s="756"/>
      <c r="K27" s="756"/>
      <c r="L27" s="758">
        <f>E25*F25*G25*I27*10^-3</f>
        <v>0.24095800563557671</v>
      </c>
      <c r="M27" s="756"/>
    </row>
    <row r="28" spans="2:13" ht="14" thickBot="1">
      <c r="B28" s="2772"/>
      <c r="C28" s="2772"/>
      <c r="D28" s="2817"/>
      <c r="E28" s="2806"/>
      <c r="F28" s="2809"/>
      <c r="G28" s="2773"/>
      <c r="H28" s="753" t="s">
        <v>1070</v>
      </c>
      <c r="I28" s="754">
        <v>2.5</v>
      </c>
      <c r="J28" s="756"/>
      <c r="K28" s="756"/>
      <c r="L28" s="756"/>
      <c r="M28" s="759">
        <f>E25*F25*G25*I28*10^-3</f>
        <v>8.6056430584134542</v>
      </c>
    </row>
    <row r="29" spans="2:13" ht="14" thickBot="1">
      <c r="B29" s="2772"/>
      <c r="C29" s="2772"/>
      <c r="D29" s="2786" t="s">
        <v>1168</v>
      </c>
      <c r="E29" s="2811">
        <f>'Anexo 3C4'!Q14</f>
        <v>13277.142796349646</v>
      </c>
      <c r="F29" s="2812">
        <v>6.5</v>
      </c>
      <c r="G29" s="2786">
        <v>0.8</v>
      </c>
      <c r="H29" s="753" t="s">
        <v>1071</v>
      </c>
      <c r="I29" s="754">
        <v>2.7</v>
      </c>
      <c r="J29" s="755">
        <f>E29*F29*G29*I29*10^-3</f>
        <v>186.41108486074907</v>
      </c>
      <c r="K29" s="756"/>
      <c r="L29" s="756"/>
      <c r="M29" s="756"/>
    </row>
    <row r="30" spans="2:13" ht="13" thickBot="1">
      <c r="B30" s="2772"/>
      <c r="C30" s="2772"/>
      <c r="D30" s="2772"/>
      <c r="E30" s="2805"/>
      <c r="F30" s="2808"/>
      <c r="G30" s="2772"/>
      <c r="H30" s="753" t="s">
        <v>1068</v>
      </c>
      <c r="I30" s="754">
        <v>92</v>
      </c>
      <c r="J30" s="756"/>
      <c r="K30" s="755">
        <f>E29*F29*G29*I30*10^-3</f>
        <v>6351.7851137736725</v>
      </c>
      <c r="L30" s="756"/>
      <c r="M30" s="756"/>
    </row>
    <row r="31" spans="2:13" ht="14" thickBot="1">
      <c r="B31" s="2772"/>
      <c r="C31" s="2772"/>
      <c r="D31" s="2772"/>
      <c r="E31" s="2805"/>
      <c r="F31" s="2808"/>
      <c r="G31" s="2772"/>
      <c r="H31" s="753" t="s">
        <v>1069</v>
      </c>
      <c r="I31" s="754">
        <v>7.0000000000000007E-2</v>
      </c>
      <c r="J31" s="756"/>
      <c r="K31" s="756"/>
      <c r="L31" s="758">
        <f>E29*F29*G29*I31*10^-3</f>
        <v>4.8328799778712721</v>
      </c>
      <c r="M31" s="756"/>
    </row>
    <row r="32" spans="2:13" ht="14" thickBot="1">
      <c r="B32" s="2774"/>
      <c r="C32" s="2772"/>
      <c r="D32" s="2774"/>
      <c r="E32" s="2806"/>
      <c r="F32" s="2809"/>
      <c r="G32" s="2773"/>
      <c r="H32" s="753" t="s">
        <v>1070</v>
      </c>
      <c r="I32" s="754">
        <v>2.5</v>
      </c>
      <c r="J32" s="756"/>
      <c r="K32" s="756"/>
      <c r="L32" s="756"/>
      <c r="M32" s="759">
        <f>E29*F29*G29*I32*10^-3</f>
        <v>172.60285635254544</v>
      </c>
    </row>
    <row r="33" spans="2:13" ht="14.5" thickTop="1" thickBot="1">
      <c r="B33" s="2505"/>
      <c r="C33" s="2506"/>
      <c r="D33" s="2801" t="s">
        <v>2370</v>
      </c>
      <c r="E33" s="2804">
        <f>'Anexo 3C4'!Q13+'Anexo 3C4'!Q18</f>
        <v>3823.6383194155578</v>
      </c>
      <c r="F33" s="2807">
        <f>D77</f>
        <v>0.95876400000000006</v>
      </c>
      <c r="G33" s="2786">
        <v>0.85</v>
      </c>
      <c r="H33" s="753" t="s">
        <v>1071</v>
      </c>
      <c r="I33" s="754">
        <v>2.7</v>
      </c>
      <c r="J33" s="755">
        <f>E33*F33*G33*I33*10^-3</f>
        <v>8.4133937364067375</v>
      </c>
      <c r="K33" s="756"/>
      <c r="L33" s="756"/>
      <c r="M33" s="756"/>
    </row>
    <row r="34" spans="2:13" ht="13" thickBot="1">
      <c r="B34" s="2505"/>
      <c r="C34" s="2507"/>
      <c r="D34" s="2802"/>
      <c r="E34" s="2805"/>
      <c r="F34" s="2808"/>
      <c r="G34" s="2772"/>
      <c r="H34" s="753" t="s">
        <v>1068</v>
      </c>
      <c r="I34" s="754">
        <v>92</v>
      </c>
      <c r="J34" s="756"/>
      <c r="K34" s="755">
        <f>E33*F33*G33*I34*10^-3</f>
        <v>286.678601388674</v>
      </c>
      <c r="L34" s="756"/>
      <c r="M34" s="756"/>
    </row>
    <row r="35" spans="2:13" ht="14" thickBot="1">
      <c r="B35" s="2505"/>
      <c r="C35" s="2507"/>
      <c r="D35" s="2802"/>
      <c r="E35" s="2805"/>
      <c r="F35" s="2808"/>
      <c r="G35" s="2772"/>
      <c r="H35" s="753" t="s">
        <v>1069</v>
      </c>
      <c r="I35" s="754">
        <v>7.0000000000000007E-2</v>
      </c>
      <c r="J35" s="756"/>
      <c r="K35" s="756"/>
      <c r="L35" s="758">
        <f>E33*F33*G33*I35*10^-3</f>
        <v>0.21812502279573023</v>
      </c>
      <c r="M35" s="756"/>
    </row>
    <row r="36" spans="2:13" ht="14" thickBot="1">
      <c r="B36" s="2505"/>
      <c r="C36" s="2507"/>
      <c r="D36" s="2803"/>
      <c r="E36" s="2806"/>
      <c r="F36" s="2809"/>
      <c r="G36" s="2773"/>
      <c r="H36" s="753" t="s">
        <v>1070</v>
      </c>
      <c r="I36" s="754">
        <v>2.5</v>
      </c>
      <c r="J36" s="756"/>
      <c r="K36" s="756"/>
      <c r="L36" s="756"/>
      <c r="M36" s="759">
        <f>E33*F33*G33*I36*10^-3</f>
        <v>7.7901793855617925</v>
      </c>
    </row>
    <row r="37" spans="2:13" ht="14" thickBot="1">
      <c r="B37" s="2505"/>
      <c r="C37" s="2507"/>
      <c r="D37" s="2810" t="s">
        <v>2371</v>
      </c>
      <c r="E37" s="2811">
        <f>'Anexo 3C4'!Q15+'Anexo 3C4'!Q16+'Anexo 3C4'!Q17</f>
        <v>4563.7612234068729</v>
      </c>
      <c r="F37" s="2812">
        <f>C82</f>
        <v>0.38697993319391194</v>
      </c>
      <c r="G37" s="2786">
        <v>0.85</v>
      </c>
      <c r="H37" s="753" t="s">
        <v>1071</v>
      </c>
      <c r="I37" s="754">
        <v>2.7</v>
      </c>
      <c r="J37" s="755">
        <f>E37*F37*G37*I37*10^-3</f>
        <v>4.0531628106312683</v>
      </c>
      <c r="K37" s="756"/>
      <c r="L37" s="756"/>
      <c r="M37" s="756"/>
    </row>
    <row r="38" spans="2:13" ht="13" thickBot="1">
      <c r="B38" s="2505"/>
      <c r="C38" s="2507"/>
      <c r="D38" s="2802"/>
      <c r="E38" s="2805"/>
      <c r="F38" s="2808"/>
      <c r="G38" s="2772"/>
      <c r="H38" s="753" t="s">
        <v>1068</v>
      </c>
      <c r="I38" s="754">
        <v>92</v>
      </c>
      <c r="J38" s="756"/>
      <c r="K38" s="755">
        <f>E37*F37*G37*I38*10^-3</f>
        <v>138.10776984373206</v>
      </c>
      <c r="L38" s="756"/>
      <c r="M38" s="756"/>
    </row>
    <row r="39" spans="2:13" ht="14" thickBot="1">
      <c r="B39" s="2505"/>
      <c r="C39" s="2507"/>
      <c r="D39" s="2802"/>
      <c r="E39" s="2805"/>
      <c r="F39" s="2808"/>
      <c r="G39" s="2772"/>
      <c r="H39" s="753" t="s">
        <v>1069</v>
      </c>
      <c r="I39" s="754">
        <v>7.0000000000000007E-2</v>
      </c>
      <c r="J39" s="756"/>
      <c r="K39" s="756"/>
      <c r="L39" s="758">
        <f>E37*F37*G37*I39*10^-3</f>
        <v>0.10508199879414398</v>
      </c>
      <c r="M39" s="756"/>
    </row>
    <row r="40" spans="2:13" ht="14" thickBot="1">
      <c r="B40" s="2505"/>
      <c r="C40" s="2508"/>
      <c r="D40" s="2803"/>
      <c r="E40" s="2806"/>
      <c r="F40" s="2809"/>
      <c r="G40" s="2773"/>
      <c r="H40" s="753" t="s">
        <v>1070</v>
      </c>
      <c r="I40" s="754">
        <v>2.5</v>
      </c>
      <c r="J40" s="756"/>
      <c r="K40" s="756"/>
      <c r="L40" s="756"/>
      <c r="M40" s="759">
        <f>E37*F37*G37*I40*10^-3</f>
        <v>3.7529285283622849</v>
      </c>
    </row>
    <row r="41" spans="2:13" ht="14" thickBot="1">
      <c r="B41" s="2787" t="s">
        <v>46</v>
      </c>
      <c r="C41" s="2788"/>
      <c r="D41" s="2789"/>
      <c r="E41" s="2795"/>
      <c r="F41" s="2795"/>
      <c r="G41" s="2795"/>
      <c r="H41" s="2798" t="s">
        <v>1071</v>
      </c>
      <c r="I41" s="2799"/>
      <c r="J41" s="760">
        <f>SUM(J13:J40)</f>
        <v>1566.9567644563008</v>
      </c>
      <c r="K41" s="761"/>
      <c r="L41" s="761"/>
      <c r="M41" s="761"/>
    </row>
    <row r="42" spans="2:13" ht="13.5" thickBot="1">
      <c r="B42" s="2790"/>
      <c r="C42" s="2788"/>
      <c r="D42" s="2791"/>
      <c r="E42" s="2796"/>
      <c r="F42" s="2796"/>
      <c r="G42" s="2796"/>
      <c r="H42" s="2798" t="s">
        <v>1068</v>
      </c>
      <c r="I42" s="2800"/>
      <c r="J42" s="761"/>
      <c r="K42" s="760">
        <f>SUM(K13:K41)</f>
        <v>53392.600862955434</v>
      </c>
      <c r="L42" s="761"/>
      <c r="M42" s="761"/>
    </row>
    <row r="43" spans="2:13" ht="14" thickBot="1">
      <c r="B43" s="2790"/>
      <c r="C43" s="2788"/>
      <c r="D43" s="2791"/>
      <c r="E43" s="2796"/>
      <c r="F43" s="2796"/>
      <c r="G43" s="2796"/>
      <c r="H43" s="2798" t="s">
        <v>1069</v>
      </c>
      <c r="I43" s="2800"/>
      <c r="J43" s="761"/>
      <c r="K43" s="761"/>
      <c r="L43" s="760">
        <f>SUM(L13:L42)</f>
        <v>40.624805004422612</v>
      </c>
      <c r="M43" s="761"/>
    </row>
    <row r="44" spans="2:13" ht="14" thickBot="1">
      <c r="B44" s="2792"/>
      <c r="C44" s="2793"/>
      <c r="D44" s="2794"/>
      <c r="E44" s="2797"/>
      <c r="F44" s="2797"/>
      <c r="G44" s="2797"/>
      <c r="H44" s="2798" t="s">
        <v>1070</v>
      </c>
      <c r="I44" s="2800"/>
      <c r="J44" s="761"/>
      <c r="K44" s="761"/>
      <c r="L44" s="761"/>
      <c r="M44" s="760">
        <f>SUM(M13:M43)</f>
        <v>1450.885893015093</v>
      </c>
    </row>
    <row r="45" spans="2:13">
      <c r="B45" s="2813" t="s">
        <v>1072</v>
      </c>
      <c r="C45" s="2814"/>
      <c r="D45" s="2814"/>
      <c r="E45" s="2814"/>
      <c r="F45" s="2814"/>
      <c r="G45" s="2814"/>
      <c r="H45" s="2814"/>
      <c r="I45" s="2814"/>
      <c r="J45" s="2814"/>
      <c r="K45" s="2814"/>
      <c r="L45" s="2814"/>
      <c r="M45" s="2815"/>
    </row>
    <row r="46" spans="2:13" ht="13" thickBot="1">
      <c r="B46" s="2783" t="s">
        <v>1073</v>
      </c>
      <c r="C46" s="2784"/>
      <c r="D46" s="2784"/>
      <c r="E46" s="2784"/>
      <c r="F46" s="2784"/>
      <c r="G46" s="2784"/>
      <c r="H46" s="2784"/>
      <c r="I46" s="2784"/>
      <c r="J46" s="2784"/>
      <c r="K46" s="2784"/>
      <c r="L46" s="2784"/>
      <c r="M46" s="2785"/>
    </row>
    <row r="47" spans="2:13">
      <c r="J47" s="762"/>
      <c r="K47" s="762"/>
      <c r="L47" s="762"/>
      <c r="M47" s="762"/>
    </row>
    <row r="48" spans="2:13">
      <c r="J48" s="762"/>
      <c r="K48" s="762"/>
      <c r="L48" s="762"/>
      <c r="M48" s="762"/>
    </row>
    <row r="49" spans="2:14" ht="13" thickBot="1"/>
    <row r="50" spans="2:14" ht="17.5">
      <c r="B50" s="770" t="s">
        <v>1118</v>
      </c>
      <c r="C50" s="299"/>
      <c r="D50" s="299"/>
      <c r="E50" s="299"/>
      <c r="F50" s="299"/>
      <c r="G50" s="299"/>
      <c r="H50" s="300"/>
      <c r="J50" s="763"/>
      <c r="K50" s="763"/>
      <c r="L50" s="763"/>
      <c r="N50" s="763"/>
    </row>
    <row r="51" spans="2:14">
      <c r="B51" s="301" t="s">
        <v>433</v>
      </c>
      <c r="C51" s="302" t="s">
        <v>308</v>
      </c>
      <c r="D51" s="302" t="s">
        <v>3</v>
      </c>
      <c r="E51" s="302" t="s">
        <v>306</v>
      </c>
      <c r="F51" s="302"/>
      <c r="G51" s="302"/>
      <c r="H51" s="303"/>
    </row>
    <row r="52" spans="2:14">
      <c r="B52" s="764" t="s">
        <v>1034</v>
      </c>
      <c r="C52" s="155" t="s">
        <v>441</v>
      </c>
      <c r="D52" s="155" t="s">
        <v>2409</v>
      </c>
      <c r="E52" s="155" t="s">
        <v>1119</v>
      </c>
      <c r="H52" s="765"/>
      <c r="I52" s="155" t="s">
        <v>43</v>
      </c>
    </row>
    <row r="53" spans="2:14">
      <c r="B53" s="764" t="s">
        <v>1074</v>
      </c>
      <c r="C53" s="155" t="s">
        <v>455</v>
      </c>
      <c r="D53" s="155" t="s">
        <v>1075</v>
      </c>
      <c r="E53" s="155" t="s">
        <v>2383</v>
      </c>
      <c r="H53" s="765"/>
      <c r="I53" s="155" t="s">
        <v>43</v>
      </c>
    </row>
    <row r="54" spans="2:14">
      <c r="B54" s="764"/>
      <c r="C54" s="155" t="s">
        <v>2369</v>
      </c>
      <c r="D54" s="155" t="s">
        <v>2368</v>
      </c>
      <c r="H54" s="765"/>
      <c r="I54" s="155" t="s">
        <v>43</v>
      </c>
    </row>
    <row r="55" spans="2:14">
      <c r="B55" s="764" t="s">
        <v>1076</v>
      </c>
      <c r="C55" s="155" t="s">
        <v>455</v>
      </c>
      <c r="D55" s="155" t="s">
        <v>709</v>
      </c>
      <c r="H55" s="765"/>
      <c r="I55" s="155" t="s">
        <v>43</v>
      </c>
    </row>
    <row r="56" spans="2:14">
      <c r="B56" s="764" t="s">
        <v>1077</v>
      </c>
      <c r="C56" s="155" t="s">
        <v>457</v>
      </c>
      <c r="D56" s="155" t="s">
        <v>1078</v>
      </c>
      <c r="H56" s="765"/>
      <c r="I56" s="155" t="s">
        <v>43</v>
      </c>
    </row>
    <row r="57" spans="2:14" ht="13" thickBot="1">
      <c r="B57" s="781" t="s">
        <v>1120</v>
      </c>
      <c r="C57" s="782"/>
      <c r="D57" s="782"/>
      <c r="E57" s="782" t="s">
        <v>1121</v>
      </c>
      <c r="F57" s="782"/>
      <c r="G57" s="782"/>
      <c r="H57" s="783"/>
      <c r="I57" s="155" t="s">
        <v>43</v>
      </c>
    </row>
    <row r="58" spans="2:14">
      <c r="B58" s="2512"/>
      <c r="C58" s="2512"/>
      <c r="D58" s="2512"/>
      <c r="E58" s="2512"/>
      <c r="F58" s="2512"/>
      <c r="G58" s="2512"/>
      <c r="H58" s="2512"/>
    </row>
    <row r="59" spans="2:14" ht="13">
      <c r="B59" s="2513" t="s">
        <v>2378</v>
      </c>
    </row>
    <row r="60" spans="2:14">
      <c r="B60" s="155" t="s">
        <v>2368</v>
      </c>
      <c r="E60" s="155" t="s">
        <v>43</v>
      </c>
    </row>
    <row r="76" spans="2:5">
      <c r="B76" s="155" t="s">
        <v>2372</v>
      </c>
      <c r="C76" s="155" t="s">
        <v>2373</v>
      </c>
      <c r="D76" s="155" t="s">
        <v>2374</v>
      </c>
    </row>
    <row r="77" spans="2:5">
      <c r="B77" s="747">
        <v>6.54</v>
      </c>
      <c r="C77" s="2509">
        <v>0.14660000000000001</v>
      </c>
      <c r="D77" s="747">
        <f>B77*C77</f>
        <v>0.95876400000000006</v>
      </c>
    </row>
    <row r="79" spans="2:5" ht="13">
      <c r="B79" s="2513" t="s">
        <v>2375</v>
      </c>
    </row>
    <row r="80" spans="2:5">
      <c r="B80" s="155" t="s">
        <v>2376</v>
      </c>
      <c r="C80" s="2510">
        <v>0.09</v>
      </c>
      <c r="D80" s="155" t="s">
        <v>2410</v>
      </c>
      <c r="E80" s="155" t="s">
        <v>43</v>
      </c>
    </row>
    <row r="81" spans="2:5">
      <c r="B81" s="155" t="s">
        <v>2384</v>
      </c>
      <c r="C81" s="2510">
        <v>0.6</v>
      </c>
      <c r="D81" s="155" t="s">
        <v>2410</v>
      </c>
      <c r="E81" s="155" t="s">
        <v>43</v>
      </c>
    </row>
    <row r="82" spans="2:5">
      <c r="B82" s="155" t="s">
        <v>2377</v>
      </c>
      <c r="C82" s="2511">
        <f>('Anexo 3C4'!C16*'3C1 Quema de biomasa'!C80*'3C1 Quema de biomasa'!C81)/E37</f>
        <v>0.38697993319391194</v>
      </c>
    </row>
  </sheetData>
  <mergeCells count="71">
    <mergeCell ref="B5:C5"/>
    <mergeCell ref="D5:M5"/>
    <mergeCell ref="B6:C6"/>
    <mergeCell ref="B2:C2"/>
    <mergeCell ref="D2:M2"/>
    <mergeCell ref="B3:C3"/>
    <mergeCell ref="D3:M3"/>
    <mergeCell ref="B4:C4"/>
    <mergeCell ref="D4:M4"/>
    <mergeCell ref="E6:M6"/>
    <mergeCell ref="B7:C7"/>
    <mergeCell ref="D7:D12"/>
    <mergeCell ref="H7:I7"/>
    <mergeCell ref="B8:B12"/>
    <mergeCell ref="C8:C12"/>
    <mergeCell ref="E8:E9"/>
    <mergeCell ref="E10:E11"/>
    <mergeCell ref="G8:G9"/>
    <mergeCell ref="H8:I8"/>
    <mergeCell ref="J8:J9"/>
    <mergeCell ref="K8:K9"/>
    <mergeCell ref="L8:L9"/>
    <mergeCell ref="F17:F20"/>
    <mergeCell ref="M8:M9"/>
    <mergeCell ref="H9:I9"/>
    <mergeCell ref="F10:F11"/>
    <mergeCell ref="G10:G11"/>
    <mergeCell ref="H10:I11"/>
    <mergeCell ref="F8:F9"/>
    <mergeCell ref="H12:I12"/>
    <mergeCell ref="G13:G16"/>
    <mergeCell ref="G17:G20"/>
    <mergeCell ref="B13:B20"/>
    <mergeCell ref="C13:C20"/>
    <mergeCell ref="D13:D16"/>
    <mergeCell ref="E13:E16"/>
    <mergeCell ref="F13:F16"/>
    <mergeCell ref="D17:D20"/>
    <mergeCell ref="E17:E20"/>
    <mergeCell ref="G21:G24"/>
    <mergeCell ref="D29:D32"/>
    <mergeCell ref="E29:E32"/>
    <mergeCell ref="F29:F32"/>
    <mergeCell ref="B45:M45"/>
    <mergeCell ref="B21:B32"/>
    <mergeCell ref="C21:C32"/>
    <mergeCell ref="D21:D24"/>
    <mergeCell ref="E21:E24"/>
    <mergeCell ref="F21:F24"/>
    <mergeCell ref="D25:D28"/>
    <mergeCell ref="E25:E28"/>
    <mergeCell ref="F25:F28"/>
    <mergeCell ref="G25:G28"/>
    <mergeCell ref="F37:F40"/>
    <mergeCell ref="G37:G40"/>
    <mergeCell ref="B46:M46"/>
    <mergeCell ref="G29:G32"/>
    <mergeCell ref="B41:D44"/>
    <mergeCell ref="E41:E44"/>
    <mergeCell ref="F41:F44"/>
    <mergeCell ref="G41:G44"/>
    <mergeCell ref="H41:I41"/>
    <mergeCell ref="H42:I42"/>
    <mergeCell ref="H43:I43"/>
    <mergeCell ref="H44:I44"/>
    <mergeCell ref="D33:D36"/>
    <mergeCell ref="E33:E36"/>
    <mergeCell ref="F33:F36"/>
    <mergeCell ref="G33:G36"/>
    <mergeCell ref="D37:D40"/>
    <mergeCell ref="E37:E40"/>
  </mergeCells>
  <pageMargins left="0.78700000000000003" right="0.78700000000000003" top="0.98399999999999999" bottom="0.98399999999999999"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I59"/>
  <sheetViews>
    <sheetView showGridLines="0" zoomScale="80" zoomScaleNormal="80" workbookViewId="0">
      <selection activeCell="I12" sqref="I12"/>
    </sheetView>
  </sheetViews>
  <sheetFormatPr defaultColWidth="10.6640625" defaultRowHeight="14"/>
  <cols>
    <col min="2" max="2" width="43.83203125" customWidth="1"/>
    <col min="3" max="3" width="14.83203125" customWidth="1"/>
  </cols>
  <sheetData>
    <row r="2" spans="2:9">
      <c r="C2" s="2836" t="s">
        <v>875</v>
      </c>
      <c r="D2" s="2836"/>
      <c r="E2" s="2836"/>
      <c r="G2" s="2836" t="s">
        <v>876</v>
      </c>
      <c r="H2" s="2836"/>
      <c r="I2" s="2836"/>
    </row>
    <row r="3" spans="2:9" ht="14.5" thickBot="1">
      <c r="C3" s="471">
        <v>2012</v>
      </c>
      <c r="D3" s="471">
        <v>2014</v>
      </c>
      <c r="G3" s="622" t="s">
        <v>872</v>
      </c>
      <c r="H3" s="622" t="s">
        <v>873</v>
      </c>
    </row>
    <row r="4" spans="2:9" ht="15.5" thickTop="1" thickBot="1">
      <c r="B4" s="237" t="s">
        <v>21</v>
      </c>
      <c r="C4" s="627">
        <v>1035325.9717887084</v>
      </c>
      <c r="D4" s="627">
        <f>'Datos de Actividad'!P14</f>
        <v>630175.66361103463</v>
      </c>
      <c r="E4" s="633">
        <f>D4/C4-1</f>
        <v>-0.3913263254448307</v>
      </c>
      <c r="G4">
        <v>1053311.0493948793</v>
      </c>
      <c r="H4">
        <v>911139.35121303203</v>
      </c>
      <c r="I4" s="633">
        <f>H4/G4-1</f>
        <v>-0.1349759866883804</v>
      </c>
    </row>
    <row r="5" spans="2:9" ht="15.5" thickTop="1" thickBot="1">
      <c r="B5" s="237" t="s">
        <v>22</v>
      </c>
      <c r="C5" s="627">
        <v>319270.58677583869</v>
      </c>
      <c r="D5" s="627">
        <f>'Datos de Actividad'!P17</f>
        <v>179616.91184519223</v>
      </c>
      <c r="E5" s="633">
        <f>D5/C5-1</f>
        <v>-0.43741478455921134</v>
      </c>
      <c r="G5">
        <v>300544.83272306918</v>
      </c>
      <c r="H5">
        <v>264687.45138519199</v>
      </c>
      <c r="I5" s="633">
        <f>H5/G5-1</f>
        <v>-0.11930792824815339</v>
      </c>
    </row>
    <row r="6" spans="2:9" ht="15.5" thickTop="1" thickBot="1">
      <c r="B6" s="237" t="s">
        <v>23</v>
      </c>
      <c r="C6" s="627">
        <v>999703.73685788538</v>
      </c>
      <c r="D6" s="627">
        <f>'Datos de Actividad'!P20</f>
        <v>323096.42836756073</v>
      </c>
      <c r="E6" s="633">
        <f>D6/C6-1</f>
        <v>-0.67680782170218989</v>
      </c>
      <c r="G6">
        <v>942382.90353183937</v>
      </c>
      <c r="H6">
        <v>715979.73378355894</v>
      </c>
      <c r="I6" s="633">
        <f>H6/G6-1</f>
        <v>-0.24024541287811163</v>
      </c>
    </row>
    <row r="7" spans="2:9" ht="15.5" thickTop="1" thickBot="1">
      <c r="B7" s="237" t="s">
        <v>24</v>
      </c>
      <c r="C7" s="627">
        <v>2939311.0085501065</v>
      </c>
      <c r="D7" s="627">
        <f>'Datos de Actividad'!P23</f>
        <v>1212212.1212021699</v>
      </c>
      <c r="E7" s="633">
        <f>D7/C7-1</f>
        <v>-0.58758630247837373</v>
      </c>
      <c r="G7">
        <v>2939311.0085501079</v>
      </c>
      <c r="H7">
        <v>2268714.9968952602</v>
      </c>
      <c r="I7" s="633">
        <f>H7/G7-1</f>
        <v>-0.22814734803638104</v>
      </c>
    </row>
    <row r="8" spans="2:9" ht="14.5" thickTop="1">
      <c r="C8" s="471">
        <f>SUM(C4:C7)</f>
        <v>5293611.3039725386</v>
      </c>
      <c r="D8" s="471">
        <f>SUM(D4:D7)</f>
        <v>2345101.1250259574</v>
      </c>
      <c r="E8" s="634">
        <f>D8/C8-1</f>
        <v>-0.55699408393168204</v>
      </c>
      <c r="G8" s="471">
        <f>SUM(G4:G7)</f>
        <v>5235549.7941998951</v>
      </c>
      <c r="H8" s="471">
        <f>SUM(H4:H7)</f>
        <v>4160521.5332770431</v>
      </c>
      <c r="I8" s="634">
        <f>H8/G8-1</f>
        <v>-0.20533244896530289</v>
      </c>
    </row>
    <row r="10" spans="2:9" ht="15" thickBot="1">
      <c r="B10" s="629" t="s">
        <v>870</v>
      </c>
      <c r="C10" s="471">
        <v>2012</v>
      </c>
      <c r="D10" s="471">
        <v>2014</v>
      </c>
    </row>
    <row r="11" spans="2:9" ht="15.5" thickTop="1" thickBot="1">
      <c r="B11" s="470" t="s">
        <v>51</v>
      </c>
      <c r="C11" s="627">
        <v>9318.4177468055695</v>
      </c>
      <c r="D11">
        <v>6167</v>
      </c>
      <c r="E11" s="619">
        <f>D11/C11-1</f>
        <v>-0.33819236617567416</v>
      </c>
    </row>
    <row r="12" spans="2:9" ht="15.5" thickTop="1" thickBot="1">
      <c r="B12" s="470" t="s">
        <v>52</v>
      </c>
      <c r="C12" s="627">
        <v>486580.44990796235</v>
      </c>
      <c r="D12">
        <v>513356</v>
      </c>
      <c r="E12" s="619">
        <f t="shared" ref="E12:E21" si="0">D12/C12-1</f>
        <v>5.5028002249375874E-2</v>
      </c>
    </row>
    <row r="13" spans="2:9" ht="15.5" thickTop="1" thickBot="1">
      <c r="B13" s="470" t="s">
        <v>53</v>
      </c>
      <c r="C13" s="627">
        <v>371169.99783437006</v>
      </c>
      <c r="D13">
        <v>354136</v>
      </c>
      <c r="E13" s="626">
        <f t="shared" si="0"/>
        <v>-4.5892712055814577E-2</v>
      </c>
    </row>
    <row r="14" spans="2:9" ht="15.5" thickTop="1" thickBot="1">
      <c r="B14" s="470" t="s">
        <v>187</v>
      </c>
      <c r="C14" s="627">
        <v>20017.245049114434</v>
      </c>
      <c r="D14">
        <v>16346</v>
      </c>
      <c r="E14" s="619">
        <f t="shared" si="0"/>
        <v>-0.18340411180992411</v>
      </c>
    </row>
    <row r="15" spans="2:9" ht="15.5" thickTop="1" thickBot="1">
      <c r="B15" s="470" t="s">
        <v>189</v>
      </c>
      <c r="C15" s="627">
        <v>15620.279676244887</v>
      </c>
      <c r="D15">
        <v>19290</v>
      </c>
      <c r="E15" s="619">
        <f t="shared" si="0"/>
        <v>0.23493307417126297</v>
      </c>
    </row>
    <row r="16" spans="2:9" ht="15.5" thickTop="1" thickBot="1">
      <c r="B16" s="470" t="s">
        <v>188</v>
      </c>
      <c r="C16" s="627">
        <v>95238.710808513599</v>
      </c>
      <c r="D16">
        <v>113293</v>
      </c>
      <c r="E16" s="619">
        <f t="shared" si="0"/>
        <v>0.18956881123460656</v>
      </c>
    </row>
    <row r="17" spans="2:5" ht="15.5" thickTop="1" thickBot="1">
      <c r="B17" s="470" t="s">
        <v>190</v>
      </c>
      <c r="C17" s="627">
        <v>5960.0821171282296</v>
      </c>
      <c r="D17">
        <v>10360</v>
      </c>
      <c r="E17" s="619">
        <f t="shared" si="0"/>
        <v>0.73823108413677363</v>
      </c>
    </row>
    <row r="18" spans="2:5" ht="15.5" thickTop="1" thickBot="1">
      <c r="B18" s="470" t="s">
        <v>191</v>
      </c>
      <c r="C18" s="627">
        <v>65199.296042597423</v>
      </c>
      <c r="D18">
        <v>49079</v>
      </c>
      <c r="E18" s="619">
        <f t="shared" si="0"/>
        <v>-0.24724647382795917</v>
      </c>
    </row>
    <row r="19" spans="2:5" ht="15.5" thickTop="1" thickBot="1">
      <c r="B19" s="470" t="s">
        <v>192</v>
      </c>
      <c r="C19" s="627">
        <v>33112.002313880701</v>
      </c>
      <c r="D19">
        <v>20037</v>
      </c>
      <c r="E19" s="619">
        <f t="shared" si="0"/>
        <v>-0.39487199203291912</v>
      </c>
    </row>
    <row r="20" spans="2:5" ht="15.5" thickTop="1" thickBot="1">
      <c r="B20" s="470" t="s">
        <v>193</v>
      </c>
      <c r="C20" s="627">
        <v>34317.04732732688</v>
      </c>
      <c r="D20">
        <v>34014</v>
      </c>
      <c r="E20" s="619">
        <f t="shared" si="0"/>
        <v>-8.8308100762958253E-3</v>
      </c>
    </row>
    <row r="21" spans="2:5" ht="14.5" thickTop="1">
      <c r="C21" s="628">
        <f>SUM(C11:C20)</f>
        <v>1136533.5288239443</v>
      </c>
      <c r="D21" s="628">
        <f>SUM(D11:D20)</f>
        <v>1136078</v>
      </c>
      <c r="E21" s="626">
        <f t="shared" si="0"/>
        <v>-4.0080544250697958E-4</v>
      </c>
    </row>
    <row r="24" spans="2:5">
      <c r="B24" s="622" t="s">
        <v>871</v>
      </c>
    </row>
    <row r="25" spans="2:5" ht="14.5">
      <c r="B25" s="244" t="s">
        <v>334</v>
      </c>
      <c r="C25" s="627">
        <v>1565535.27921014</v>
      </c>
      <c r="D25" s="627">
        <v>1379953.59107907</v>
      </c>
      <c r="E25" s="619">
        <f t="shared" ref="E25:E59" si="1">D25/C25-1</f>
        <v>-0.11854200323400033</v>
      </c>
    </row>
    <row r="26" spans="2:5" ht="14.5">
      <c r="B26" s="244" t="s">
        <v>335</v>
      </c>
      <c r="C26" s="627">
        <v>0</v>
      </c>
      <c r="D26" s="627">
        <v>0</v>
      </c>
      <c r="E26" s="619"/>
    </row>
    <row r="27" spans="2:5" ht="14.5">
      <c r="B27" s="244" t="s">
        <v>336</v>
      </c>
      <c r="C27" s="627">
        <v>10961.921772403601</v>
      </c>
      <c r="D27" s="627">
        <v>14489.9383477296</v>
      </c>
      <c r="E27" s="619">
        <f t="shared" si="1"/>
        <v>0.32184288928312776</v>
      </c>
    </row>
    <row r="28" spans="2:5" ht="14.5">
      <c r="B28" s="244" t="s">
        <v>337</v>
      </c>
      <c r="C28" s="627">
        <v>0</v>
      </c>
      <c r="D28" s="627">
        <v>0</v>
      </c>
      <c r="E28" s="619"/>
    </row>
    <row r="29" spans="2:5" ht="14.5">
      <c r="B29" s="244" t="s">
        <v>338</v>
      </c>
      <c r="C29" s="627">
        <v>1130552.54262802</v>
      </c>
      <c r="D29" s="627">
        <v>1533219</v>
      </c>
      <c r="E29" s="619">
        <f t="shared" si="1"/>
        <v>0.3561678402278976</v>
      </c>
    </row>
    <row r="30" spans="2:5" ht="14.5">
      <c r="B30" s="244" t="s">
        <v>339</v>
      </c>
      <c r="C30" s="627">
        <v>84640.051552251607</v>
      </c>
      <c r="D30" s="627"/>
      <c r="E30" s="619"/>
    </row>
    <row r="31" spans="2:5" ht="14.5">
      <c r="B31" s="244" t="s">
        <v>340</v>
      </c>
      <c r="C31" s="627">
        <v>8682.6683995078802</v>
      </c>
      <c r="D31" s="627">
        <v>22708</v>
      </c>
      <c r="E31" s="619">
        <f t="shared" si="1"/>
        <v>1.6153250308726581</v>
      </c>
    </row>
    <row r="32" spans="2:5" ht="14.5">
      <c r="B32" s="244" t="s">
        <v>341</v>
      </c>
      <c r="C32" s="627">
        <v>4896.7510561045501</v>
      </c>
      <c r="D32" s="627"/>
      <c r="E32" s="619"/>
    </row>
    <row r="33" spans="2:5" ht="14.5">
      <c r="B33" s="244" t="s">
        <v>342</v>
      </c>
      <c r="C33" s="627">
        <v>8773.5849823466597</v>
      </c>
      <c r="D33" s="627">
        <v>36718</v>
      </c>
      <c r="E33" s="619">
        <f t="shared" si="1"/>
        <v>3.1850623290114966</v>
      </c>
    </row>
    <row r="34" spans="2:5" ht="14.5">
      <c r="B34" s="244" t="s">
        <v>343</v>
      </c>
      <c r="C34" s="627">
        <v>19362.060440054101</v>
      </c>
      <c r="D34" s="627"/>
      <c r="E34" s="619"/>
    </row>
    <row r="35" spans="2:5" ht="14.5">
      <c r="B35" s="244" t="s">
        <v>344</v>
      </c>
      <c r="C35" s="627">
        <v>50270.320970823603</v>
      </c>
      <c r="D35" s="627">
        <v>75059</v>
      </c>
      <c r="E35" s="619">
        <f t="shared" si="1"/>
        <v>0.49310763389721535</v>
      </c>
    </row>
    <row r="36" spans="2:5" ht="14.5">
      <c r="B36" s="244" t="s">
        <v>345</v>
      </c>
      <c r="C36" s="627">
        <v>22354.112553666298</v>
      </c>
      <c r="D36" s="627"/>
      <c r="E36" s="619"/>
    </row>
    <row r="37" spans="2:5" ht="14.5">
      <c r="B37" s="244" t="s">
        <v>346</v>
      </c>
      <c r="C37" s="627">
        <v>284629.08613201301</v>
      </c>
      <c r="D37" s="627">
        <v>421061</v>
      </c>
      <c r="E37" s="619">
        <f t="shared" si="1"/>
        <v>0.47933229777054098</v>
      </c>
    </row>
    <row r="38" spans="2:5" ht="14.5">
      <c r="B38" s="244" t="s">
        <v>347</v>
      </c>
      <c r="C38" s="627">
        <v>471.401381440048</v>
      </c>
      <c r="D38" s="627"/>
      <c r="E38" s="619"/>
    </row>
    <row r="39" spans="2:5" ht="14.5">
      <c r="B39" s="244" t="s">
        <v>348</v>
      </c>
      <c r="C39" s="627">
        <v>62716.344641219097</v>
      </c>
      <c r="D39" s="627">
        <v>71831</v>
      </c>
      <c r="E39" s="619">
        <f t="shared" si="1"/>
        <v>0.14533141896140545</v>
      </c>
    </row>
    <row r="40" spans="2:5" ht="14.5">
      <c r="B40" s="244" t="s">
        <v>349</v>
      </c>
      <c r="C40" s="627">
        <v>239.53365184588401</v>
      </c>
      <c r="D40" s="627"/>
      <c r="E40" s="619"/>
    </row>
    <row r="41" spans="2:5" ht="14.5">
      <c r="B41" s="244" t="s">
        <v>350</v>
      </c>
      <c r="C41" s="627">
        <v>7450.2201290729899</v>
      </c>
      <c r="D41" s="627">
        <v>6814</v>
      </c>
      <c r="E41" s="619">
        <f t="shared" si="1"/>
        <v>-8.5396151798289632E-2</v>
      </c>
    </row>
    <row r="42" spans="2:5" ht="14.5">
      <c r="B42" s="244" t="s">
        <v>351</v>
      </c>
      <c r="C42" s="627">
        <v>0</v>
      </c>
      <c r="D42" s="627"/>
      <c r="E42" s="619"/>
    </row>
    <row r="43" spans="2:5" ht="14.5">
      <c r="B43" s="244" t="s">
        <v>352</v>
      </c>
      <c r="C43" s="627">
        <v>52696.837189816302</v>
      </c>
      <c r="D43" s="627">
        <v>111294</v>
      </c>
      <c r="E43" s="619">
        <f t="shared" si="1"/>
        <v>1.1119673577204296</v>
      </c>
    </row>
    <row r="44" spans="2:5" ht="14.5">
      <c r="B44" s="244" t="s">
        <v>353</v>
      </c>
      <c r="C44" s="627">
        <v>18248.325745727801</v>
      </c>
      <c r="D44" s="627"/>
      <c r="E44" s="619"/>
    </row>
    <row r="45" spans="2:5">
      <c r="C45" s="627"/>
      <c r="D45" s="627"/>
      <c r="E45" s="619"/>
    </row>
    <row r="46" spans="2:5" ht="14.5">
      <c r="B46" s="247" t="s">
        <v>360</v>
      </c>
      <c r="C46" s="627">
        <v>508.65984558134699</v>
      </c>
      <c r="D46" s="627">
        <v>890</v>
      </c>
      <c r="E46" s="619">
        <f t="shared" si="1"/>
        <v>0.7496958089601502</v>
      </c>
    </row>
    <row r="47" spans="2:5" ht="14.5">
      <c r="B47" s="247" t="s">
        <v>361</v>
      </c>
      <c r="C47" s="627"/>
      <c r="D47" s="627"/>
      <c r="E47" s="619"/>
    </row>
    <row r="48" spans="2:5" ht="14.5">
      <c r="B48" s="247" t="s">
        <v>362</v>
      </c>
      <c r="C48" s="627">
        <v>4880.8877800077771</v>
      </c>
      <c r="D48" s="627">
        <v>10945</v>
      </c>
      <c r="E48" s="619">
        <f t="shared" si="1"/>
        <v>1.2424199230375588</v>
      </c>
    </row>
    <row r="49" spans="2:5" ht="14.5">
      <c r="B49" s="247" t="s">
        <v>363</v>
      </c>
      <c r="C49" s="627"/>
      <c r="D49" s="627"/>
      <c r="E49" s="619"/>
    </row>
    <row r="50" spans="2:5" ht="14.5">
      <c r="B50" s="247" t="s">
        <v>364</v>
      </c>
      <c r="C50" s="627">
        <v>9990.4847162087408</v>
      </c>
      <c r="D50" s="627">
        <v>12550</v>
      </c>
      <c r="E50" s="619">
        <f t="shared" si="1"/>
        <v>0.25619530548289182</v>
      </c>
    </row>
    <row r="51" spans="2:5" ht="14.5">
      <c r="B51" s="247" t="s">
        <v>365</v>
      </c>
      <c r="C51" s="627"/>
      <c r="D51" s="627"/>
      <c r="E51" s="619"/>
    </row>
    <row r="52" spans="2:5" ht="14.5">
      <c r="B52" s="247" t="s">
        <v>366</v>
      </c>
      <c r="C52" s="627">
        <v>15915.95892956141</v>
      </c>
      <c r="D52" s="627">
        <v>17856</v>
      </c>
      <c r="E52" s="619">
        <f t="shared" si="1"/>
        <v>0.12189281707904298</v>
      </c>
    </row>
    <row r="53" spans="2:5" ht="14.5">
      <c r="B53" s="247" t="s">
        <v>367</v>
      </c>
      <c r="C53" s="627"/>
      <c r="D53" s="627"/>
      <c r="E53" s="619"/>
    </row>
    <row r="54" spans="2:5" ht="14.5">
      <c r="B54" s="247" t="s">
        <v>368</v>
      </c>
      <c r="C54" s="627">
        <v>2237.5851657508001</v>
      </c>
      <c r="D54" s="627">
        <v>3957</v>
      </c>
      <c r="E54" s="619">
        <f t="shared" si="1"/>
        <v>0.76842430874458656</v>
      </c>
    </row>
    <row r="55" spans="2:5" ht="14.5">
      <c r="B55" s="247" t="s">
        <v>369</v>
      </c>
      <c r="C55" s="627"/>
      <c r="D55" s="627"/>
      <c r="E55" s="619"/>
    </row>
    <row r="56" spans="2:5" ht="14.5">
      <c r="B56" s="247" t="s">
        <v>370</v>
      </c>
      <c r="C56" s="627">
        <v>12441.23008800832</v>
      </c>
      <c r="D56" s="627">
        <v>26297</v>
      </c>
      <c r="E56" s="619">
        <f t="shared" si="1"/>
        <v>1.1136977464428366</v>
      </c>
    </row>
    <row r="57" spans="2:5" ht="14.5">
      <c r="B57" s="247" t="s">
        <v>371</v>
      </c>
      <c r="C57" s="627"/>
      <c r="D57" s="627"/>
      <c r="E57" s="619"/>
    </row>
    <row r="59" spans="2:5">
      <c r="C59" s="628">
        <f>SUM(C25:C57)</f>
        <v>3378455.8489615717</v>
      </c>
      <c r="D59" s="628">
        <f>SUM(D25:D57)</f>
        <v>3745642.5294267996</v>
      </c>
      <c r="E59" s="626">
        <f t="shared" si="1"/>
        <v>0.10868476513555425</v>
      </c>
    </row>
  </sheetData>
  <mergeCells count="2">
    <mergeCell ref="C2:E2"/>
    <mergeCell ref="G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Z189"/>
  <sheetViews>
    <sheetView showGridLines="0" topLeftCell="A3" zoomScale="60" zoomScaleNormal="60" workbookViewId="0">
      <selection activeCell="E11" sqref="E11"/>
    </sheetView>
  </sheetViews>
  <sheetFormatPr defaultColWidth="10.6640625" defaultRowHeight="14"/>
  <cols>
    <col min="1" max="1" width="5.58203125" customWidth="1"/>
    <col min="2" max="2" width="39.75" customWidth="1"/>
    <col min="3" max="3" width="11.83203125" customWidth="1"/>
    <col min="4" max="5" width="13" customWidth="1"/>
    <col min="6" max="8" width="13.25" customWidth="1"/>
    <col min="9" max="9" width="12.58203125" customWidth="1"/>
    <col min="10" max="10" width="13.83203125" customWidth="1"/>
    <col min="11" max="11" width="14.08203125" customWidth="1"/>
    <col min="12" max="12" width="12.83203125" customWidth="1"/>
    <col min="13" max="13" width="13.58203125" customWidth="1"/>
    <col min="14" max="14" width="14.75" customWidth="1"/>
    <col min="15" max="15" width="17.83203125" hidden="1" customWidth="1"/>
    <col min="16" max="16" width="16.33203125" hidden="1" customWidth="1"/>
    <col min="17" max="17" width="4.83203125" customWidth="1"/>
    <col min="18" max="18" width="34.33203125" customWidth="1"/>
    <col min="19" max="19" width="33.08203125" customWidth="1"/>
    <col min="21" max="21" width="26.33203125" customWidth="1"/>
    <col min="22" max="22" width="7.33203125" customWidth="1"/>
    <col min="23" max="23" width="6.33203125" customWidth="1"/>
    <col min="24" max="24" width="7.33203125" customWidth="1"/>
    <col min="25" max="25" width="7.58203125" customWidth="1"/>
    <col min="26" max="26" width="5.08203125" customWidth="1"/>
  </cols>
  <sheetData>
    <row r="2" spans="1:20" ht="32.15" customHeight="1">
      <c r="A2" s="492"/>
      <c r="B2" s="607" t="s">
        <v>863</v>
      </c>
      <c r="C2" s="560"/>
      <c r="D2" s="492"/>
      <c r="E2" s="492"/>
      <c r="F2" s="641" t="s">
        <v>898</v>
      </c>
      <c r="G2" s="641"/>
      <c r="H2" s="641"/>
      <c r="I2" s="2837" t="s">
        <v>722</v>
      </c>
      <c r="J2" s="2837"/>
      <c r="K2" s="2837"/>
      <c r="L2" s="2837"/>
      <c r="M2" s="2837"/>
      <c r="N2" s="2837"/>
      <c r="O2" s="2838" t="s">
        <v>723</v>
      </c>
      <c r="P2" s="2838"/>
    </row>
    <row r="3" spans="1:20" ht="17.5" thickBot="1">
      <c r="A3" s="492"/>
      <c r="B3" s="492"/>
      <c r="C3" s="492"/>
      <c r="D3" s="492"/>
      <c r="E3" s="492"/>
      <c r="F3" s="492"/>
      <c r="G3" s="492"/>
      <c r="H3" s="492"/>
      <c r="I3" s="2839" t="s">
        <v>724</v>
      </c>
      <c r="J3" s="2840"/>
      <c r="K3" s="2839" t="s">
        <v>725</v>
      </c>
      <c r="L3" s="2840"/>
      <c r="M3" s="2839" t="s">
        <v>726</v>
      </c>
      <c r="N3" s="2840"/>
      <c r="O3" s="2841" t="s">
        <v>727</v>
      </c>
      <c r="P3" s="2841"/>
    </row>
    <row r="4" spans="1:20" ht="83" thickBot="1">
      <c r="A4" s="492"/>
      <c r="B4" s="493"/>
      <c r="C4" s="493" t="s">
        <v>728</v>
      </c>
      <c r="D4" s="493" t="s">
        <v>729</v>
      </c>
      <c r="E4" s="493" t="s">
        <v>730</v>
      </c>
      <c r="F4" s="537" t="s">
        <v>731</v>
      </c>
      <c r="G4" s="537" t="s">
        <v>1956</v>
      </c>
      <c r="H4" s="537" t="s">
        <v>1957</v>
      </c>
      <c r="I4" s="538" t="s">
        <v>732</v>
      </c>
      <c r="J4" s="538" t="s">
        <v>733</v>
      </c>
      <c r="K4" s="538" t="s">
        <v>734</v>
      </c>
      <c r="L4" s="538" t="s">
        <v>735</v>
      </c>
      <c r="M4" s="538" t="s">
        <v>736</v>
      </c>
      <c r="N4" s="538" t="s">
        <v>737</v>
      </c>
      <c r="O4" s="539" t="s">
        <v>738</v>
      </c>
      <c r="P4" s="539" t="s">
        <v>739</v>
      </c>
      <c r="R4" s="540" t="s">
        <v>741</v>
      </c>
      <c r="S4" s="541" t="s">
        <v>742</v>
      </c>
    </row>
    <row r="5" spans="1:20" ht="20" thickBot="1">
      <c r="A5" s="492"/>
      <c r="B5" s="494" t="s">
        <v>740</v>
      </c>
      <c r="C5" s="608">
        <f>RESULTADOS!N5</f>
        <v>12377.807188497558</v>
      </c>
      <c r="D5" s="495"/>
      <c r="E5" s="495"/>
      <c r="F5" s="495"/>
      <c r="G5" s="495"/>
      <c r="H5" s="495"/>
      <c r="I5" s="495"/>
      <c r="J5" s="495"/>
      <c r="K5" s="495"/>
      <c r="L5" s="495"/>
      <c r="M5" s="495"/>
      <c r="N5" s="496">
        <f>SQRT(M7+M29+M49+M57+M77+M98+M119+M122+M125)</f>
        <v>0.11602249122960892</v>
      </c>
      <c r="O5" s="497"/>
      <c r="P5" s="498">
        <f>SQRT(SUM(O6:O127))</f>
        <v>6.4582176552255219E-2</v>
      </c>
    </row>
    <row r="6" spans="1:20" ht="17">
      <c r="A6" s="525" t="s">
        <v>84</v>
      </c>
      <c r="B6" s="499" t="s">
        <v>770</v>
      </c>
      <c r="C6" s="500"/>
      <c r="D6" s="501"/>
      <c r="E6" s="501"/>
      <c r="F6" s="501"/>
      <c r="G6" s="501"/>
      <c r="H6" s="501"/>
      <c r="I6" s="501"/>
      <c r="J6" s="502"/>
      <c r="K6" s="502"/>
      <c r="L6" s="503"/>
      <c r="M6" s="504"/>
      <c r="N6" s="503"/>
      <c r="O6" s="503"/>
      <c r="P6" s="503"/>
    </row>
    <row r="7" spans="1:20" ht="17">
      <c r="A7" s="526" t="s">
        <v>84</v>
      </c>
      <c r="B7" s="542" t="s">
        <v>743</v>
      </c>
      <c r="C7" s="531">
        <f>C8+C11+C13+C15+C27+C17+C19+C21+C23+C25</f>
        <v>3546.2708703188832</v>
      </c>
      <c r="D7" s="507"/>
      <c r="E7" s="507"/>
      <c r="F7" s="507"/>
      <c r="G7" s="1820">
        <f>SUM(G9:G26)</f>
        <v>1.7707968496974324E-2</v>
      </c>
      <c r="H7" s="1820">
        <f>SUM(H9:H26)</f>
        <v>1.8040236918476341E-2</v>
      </c>
      <c r="I7" s="507"/>
      <c r="J7" s="508"/>
      <c r="K7" s="508"/>
      <c r="L7" s="509">
        <f>SQRT(K8+K11+K13+K15+K17+K19+K21+K23+K25+K27)</f>
        <v>0.18907195830014209</v>
      </c>
      <c r="M7" s="510">
        <f>(((C7*L7)^2))/($C$5^2)</f>
        <v>2.9343413089143481E-3</v>
      </c>
      <c r="N7" s="509"/>
      <c r="O7" s="509"/>
      <c r="P7" s="509"/>
    </row>
    <row r="8" spans="1:20" ht="16.5">
      <c r="A8" s="526" t="s">
        <v>84</v>
      </c>
      <c r="B8" s="511" t="s">
        <v>744</v>
      </c>
      <c r="C8" s="520">
        <f>SUM(C9:C10)</f>
        <v>3241.7678504418291</v>
      </c>
      <c r="D8" s="513"/>
      <c r="E8" s="514"/>
      <c r="F8" s="512"/>
      <c r="G8" s="512"/>
      <c r="H8" s="512"/>
      <c r="I8" s="515"/>
      <c r="J8" s="515">
        <f>SQRT(SUM(I9:I10))</f>
        <v>0.20477887927533994</v>
      </c>
      <c r="K8" s="512">
        <f>IFERROR(((C8*J8)^2)/($C$7^2),0)</f>
        <v>3.5042117063961209E-2</v>
      </c>
      <c r="L8" s="512"/>
      <c r="M8" s="512"/>
      <c r="N8" s="512"/>
      <c r="O8" s="512"/>
      <c r="P8" s="512"/>
    </row>
    <row r="9" spans="1:20" ht="16.5">
      <c r="A9" s="526" t="s">
        <v>84</v>
      </c>
      <c r="B9" s="516" t="s">
        <v>745</v>
      </c>
      <c r="C9" s="527">
        <f>'3A1 Fermentación E.'!F13*RESULTADOS!E57</f>
        <v>1264.4378220850851</v>
      </c>
      <c r="D9" s="528">
        <v>0.2</v>
      </c>
      <c r="E9" s="529">
        <v>0.2</v>
      </c>
      <c r="F9" s="517">
        <f>SQRT(D9^2+E9^2)</f>
        <v>0.28284271247461906</v>
      </c>
      <c r="G9" s="1818">
        <f>((C9*D9)^2)/(C$7^2)</f>
        <v>5.0852362951148535E-3</v>
      </c>
      <c r="H9" s="1818">
        <f>((C9*E9)^2)/(C$7^2)</f>
        <v>5.0852362951148535E-3</v>
      </c>
      <c r="I9" s="536">
        <f>((C9*F9)^2)/(C$8^2)</f>
        <v>1.2170855921017347E-2</v>
      </c>
      <c r="J9" s="519"/>
      <c r="K9" s="519"/>
      <c r="L9" s="519"/>
      <c r="M9" s="519"/>
      <c r="N9" s="519"/>
      <c r="O9" s="518">
        <f>((C9*F9)^2)/($C$5^2)</f>
        <v>8.348289796889629E-4</v>
      </c>
      <c r="P9" s="518"/>
      <c r="R9" s="185" t="s">
        <v>828</v>
      </c>
      <c r="S9" s="185" t="s">
        <v>773</v>
      </c>
      <c r="T9" t="s">
        <v>43</v>
      </c>
    </row>
    <row r="10" spans="1:20" ht="16.5">
      <c r="A10" s="526" t="s">
        <v>84</v>
      </c>
      <c r="B10" s="516" t="s">
        <v>746</v>
      </c>
      <c r="C10" s="527">
        <f>('3A1 Fermentación E.'!F16+'3A1 Fermentación E.'!F19+'3A1 Fermentación E.'!F22)*RESULTADOS!E57</f>
        <v>1977.3300283567442</v>
      </c>
      <c r="D10" s="528">
        <v>0.2</v>
      </c>
      <c r="E10" s="529">
        <v>0.2</v>
      </c>
      <c r="F10" s="517">
        <f>SQRT(D10^2+E10^2)</f>
        <v>0.28284271247461906</v>
      </c>
      <c r="G10" s="1818">
        <f>((C10*D10)^2)/(C$7^2)</f>
        <v>1.243582223686575E-2</v>
      </c>
      <c r="H10" s="1818">
        <f>((C10*E10)^2)/(C$7^2)</f>
        <v>1.243582223686575E-2</v>
      </c>
      <c r="I10" s="536">
        <f>((C10*F10)^2)/(C8^2)</f>
        <v>2.9763533476246908E-2</v>
      </c>
      <c r="J10" s="519"/>
      <c r="K10" s="519"/>
      <c r="L10" s="519"/>
      <c r="M10" s="519"/>
      <c r="N10" s="519"/>
      <c r="O10" s="518">
        <f>((C10*F10)^2)/($C$5^2)</f>
        <v>2.0415540570984368E-3</v>
      </c>
      <c r="P10" s="518"/>
      <c r="R10" s="185" t="s">
        <v>829</v>
      </c>
      <c r="S10" s="185" t="s">
        <v>773</v>
      </c>
      <c r="T10" t="s">
        <v>43</v>
      </c>
    </row>
    <row r="11" spans="1:20" ht="16.5">
      <c r="A11" s="526" t="s">
        <v>84</v>
      </c>
      <c r="B11" s="511" t="s">
        <v>747</v>
      </c>
      <c r="C11" s="520">
        <f>(SUM(C12:C12))</f>
        <v>7.309456</v>
      </c>
      <c r="D11" s="513"/>
      <c r="E11" s="514"/>
      <c r="F11" s="512"/>
      <c r="G11" s="512"/>
      <c r="H11" s="512"/>
      <c r="I11" s="515"/>
      <c r="J11" s="515">
        <f>SQRT(SUM(I12:I12))</f>
        <v>0.55901699437494745</v>
      </c>
      <c r="K11" s="512">
        <f>IFERROR(((C11*J11)^2)/($C$7^2),0)</f>
        <v>1.327627759741733E-6</v>
      </c>
      <c r="L11" s="512"/>
      <c r="M11" s="512"/>
      <c r="N11" s="512"/>
      <c r="O11" s="512"/>
      <c r="P11" s="512"/>
    </row>
    <row r="12" spans="1:20" ht="16.5">
      <c r="A12" s="526" t="s">
        <v>84</v>
      </c>
      <c r="B12" s="516" t="s">
        <v>40</v>
      </c>
      <c r="C12" s="527">
        <f>'3A1 Fermentación E.'!F25*RESULTADOS!E57</f>
        <v>7.309456</v>
      </c>
      <c r="D12" s="528">
        <v>0.25</v>
      </c>
      <c r="E12" s="529">
        <v>0.5</v>
      </c>
      <c r="F12" s="517">
        <f>SQRT(D12^2+E12^2)</f>
        <v>0.55901699437494745</v>
      </c>
      <c r="G12" s="1819">
        <f>((C12*D12)^2)/(C$7^2)</f>
        <v>2.6552555194834654E-7</v>
      </c>
      <c r="H12" s="1819">
        <f>((C12*E12)^2)/(C$7^2)</f>
        <v>1.0621022077933861E-6</v>
      </c>
      <c r="I12" s="518">
        <f>((C12*F12)^2)/(C11^2)</f>
        <v>0.31250000000000006</v>
      </c>
      <c r="J12" s="519"/>
      <c r="K12" s="519"/>
      <c r="L12" s="519"/>
      <c r="M12" s="519"/>
      <c r="N12" s="519"/>
      <c r="O12" s="518">
        <f>((C12*F12)^2)/($C$5^2)</f>
        <v>1.0897646281812572E-7</v>
      </c>
      <c r="P12" s="518"/>
      <c r="R12" s="185" t="s">
        <v>830</v>
      </c>
      <c r="S12" s="185" t="s">
        <v>774</v>
      </c>
      <c r="T12" t="s">
        <v>43</v>
      </c>
    </row>
    <row r="13" spans="1:20" ht="16.5">
      <c r="A13" s="526" t="s">
        <v>84</v>
      </c>
      <c r="B13" s="511" t="s">
        <v>748</v>
      </c>
      <c r="C13" s="520">
        <f>SUM(C14:C14)</f>
        <v>69.853281804402172</v>
      </c>
      <c r="D13" s="513"/>
      <c r="E13" s="514"/>
      <c r="F13" s="512"/>
      <c r="G13" s="512"/>
      <c r="H13" s="512"/>
      <c r="I13" s="515"/>
      <c r="J13" s="515">
        <f>SQRT(SUM(I14:I14))</f>
        <v>0.58309518948452999</v>
      </c>
      <c r="K13" s="512">
        <f>IFERROR(((C13*J13)^2)/($C$7^2),0)</f>
        <v>1.3191942115831418E-4</v>
      </c>
      <c r="L13" s="512"/>
      <c r="M13" s="512"/>
      <c r="N13" s="512"/>
      <c r="O13" s="512"/>
      <c r="P13" s="512"/>
      <c r="T13" t="s">
        <v>43</v>
      </c>
    </row>
    <row r="14" spans="1:20" ht="16.5">
      <c r="A14" s="526" t="s">
        <v>84</v>
      </c>
      <c r="B14" s="516" t="s">
        <v>749</v>
      </c>
      <c r="C14" s="527">
        <f>'3A1 Fermentación E.'!F26*RESULTADOS!E57</f>
        <v>69.853281804402172</v>
      </c>
      <c r="D14" s="528">
        <v>0.3</v>
      </c>
      <c r="E14" s="529">
        <v>0.5</v>
      </c>
      <c r="F14" s="517">
        <f>SQRT(D14^2+E14^2)</f>
        <v>0.58309518948452999</v>
      </c>
      <c r="G14" s="1819">
        <f>((C14*D14)^2)/(C$7^2)</f>
        <v>3.491984677720081E-5</v>
      </c>
      <c r="H14" s="1819">
        <f>((C14*E14)^2)/(C$7^2)</f>
        <v>9.6999574381113402E-5</v>
      </c>
      <c r="I14" s="518">
        <f>((C14*F14)^2)/(C13^2)</f>
        <v>0.33999999999999991</v>
      </c>
      <c r="J14" s="519"/>
      <c r="K14" s="519"/>
      <c r="L14" s="519"/>
      <c r="M14" s="519"/>
      <c r="N14" s="519"/>
      <c r="O14" s="518">
        <f>((C14*F14)^2)/($C$5^2)</f>
        <v>1.0828420684457756E-5</v>
      </c>
      <c r="P14" s="518"/>
      <c r="R14" s="185" t="s">
        <v>829</v>
      </c>
      <c r="S14" s="185" t="s">
        <v>774</v>
      </c>
      <c r="T14" t="s">
        <v>43</v>
      </c>
    </row>
    <row r="15" spans="1:20" ht="16.5">
      <c r="A15" s="526" t="s">
        <v>84</v>
      </c>
      <c r="B15" s="511" t="s">
        <v>750</v>
      </c>
      <c r="C15" s="520">
        <f>SUM(C16:C16)</f>
        <v>3.0443429633773675</v>
      </c>
      <c r="D15" s="513"/>
      <c r="E15" s="514"/>
      <c r="F15" s="512"/>
      <c r="G15" s="512"/>
      <c r="H15" s="512"/>
      <c r="I15" s="515"/>
      <c r="J15" s="515">
        <f>SQRT(SUM(I16:I16))</f>
        <v>0.58309518948452999</v>
      </c>
      <c r="K15" s="512">
        <f>IFERROR(((C15*J15)^2)/($C$7^2),0)</f>
        <v>2.5056606984216408E-7</v>
      </c>
      <c r="L15" s="512"/>
      <c r="M15" s="512"/>
      <c r="N15" s="512"/>
      <c r="O15" s="512"/>
      <c r="P15" s="512"/>
      <c r="T15" t="s">
        <v>43</v>
      </c>
    </row>
    <row r="16" spans="1:20" ht="16.5">
      <c r="A16" s="526" t="s">
        <v>84</v>
      </c>
      <c r="B16" s="516" t="s">
        <v>27</v>
      </c>
      <c r="C16" s="527">
        <f>'3A1 Fermentación E.'!F27*RESULTADOS!E57</f>
        <v>3.0443429633773675</v>
      </c>
      <c r="D16" s="528">
        <v>0.3</v>
      </c>
      <c r="E16" s="529">
        <v>0.5</v>
      </c>
      <c r="F16" s="517">
        <f>SQRT(D16^2+E16^2)</f>
        <v>0.58309518948452999</v>
      </c>
      <c r="G16" s="1819">
        <f>((C16*D16)^2)/(C$7^2)</f>
        <v>6.6326312605278734E-8</v>
      </c>
      <c r="H16" s="1819">
        <f>((C16*E16)^2)/(C$7^2)</f>
        <v>1.842397572368854E-7</v>
      </c>
      <c r="I16" s="518">
        <f>((C16*F16)^2)/(C15^2)</f>
        <v>0.33999999999999997</v>
      </c>
      <c r="J16" s="519"/>
      <c r="K16" s="519"/>
      <c r="L16" s="519"/>
      <c r="M16" s="519"/>
      <c r="N16" s="519"/>
      <c r="O16" s="518">
        <f>((C16*F16)^2)/($C$5^2)</f>
        <v>2.0567364453836337E-8</v>
      </c>
      <c r="P16" s="518"/>
      <c r="R16" s="185" t="s">
        <v>829</v>
      </c>
      <c r="S16" s="185" t="s">
        <v>774</v>
      </c>
      <c r="T16" t="s">
        <v>43</v>
      </c>
    </row>
    <row r="17" spans="1:20" ht="16.5">
      <c r="A17" s="526" t="s">
        <v>84</v>
      </c>
      <c r="B17" s="511" t="s">
        <v>751</v>
      </c>
      <c r="C17" s="520">
        <f>SUM(C18:C18)</f>
        <v>4.6927514495818681</v>
      </c>
      <c r="D17" s="513"/>
      <c r="E17" s="514"/>
      <c r="F17" s="512"/>
      <c r="G17" s="512"/>
      <c r="H17" s="512"/>
      <c r="I17" s="515"/>
      <c r="J17" s="515">
        <f>SQRT(SUM(I18:I18))</f>
        <v>0.6403124237432849</v>
      </c>
      <c r="K17" s="512">
        <f>IFERROR(((C17*J17)^2)/($C$7^2),0)</f>
        <v>7.1795157466442645E-7</v>
      </c>
      <c r="L17" s="512"/>
      <c r="M17" s="512"/>
      <c r="N17" s="512"/>
      <c r="O17" s="512"/>
      <c r="P17" s="512"/>
      <c r="T17" t="s">
        <v>43</v>
      </c>
    </row>
    <row r="18" spans="1:20" ht="16.5">
      <c r="A18" s="526" t="s">
        <v>84</v>
      </c>
      <c r="B18" s="516" t="s">
        <v>752</v>
      </c>
      <c r="C18" s="527">
        <f>'3A1 Fermentación E.'!F28*RESULTADOS!E57</f>
        <v>4.6927514495818681</v>
      </c>
      <c r="D18" s="528">
        <v>0.4</v>
      </c>
      <c r="E18" s="529">
        <v>0.5</v>
      </c>
      <c r="F18" s="517">
        <f>SQRT(D18^2+E18^2)</f>
        <v>0.6403124237432849</v>
      </c>
      <c r="G18" s="1819">
        <f>((C18*D18)^2)/(C$7^2)</f>
        <v>2.801762242592884E-7</v>
      </c>
      <c r="H18" s="1819">
        <f>((C18*E18)^2)/(C$7^2)</f>
        <v>4.377753504051381E-7</v>
      </c>
      <c r="I18" s="518">
        <f>((C18*F18)^2)/(C17^2)</f>
        <v>0.41</v>
      </c>
      <c r="J18" s="519"/>
      <c r="K18" s="519"/>
      <c r="L18" s="519"/>
      <c r="M18" s="519"/>
      <c r="N18" s="519"/>
      <c r="O18" s="518">
        <f>((C18*F18)^2)/($C$5^2)</f>
        <v>5.8932048164504251E-8</v>
      </c>
      <c r="P18" s="518"/>
      <c r="R18" s="185" t="s">
        <v>829</v>
      </c>
      <c r="S18" s="185" t="s">
        <v>774</v>
      </c>
      <c r="T18" t="s">
        <v>43</v>
      </c>
    </row>
    <row r="19" spans="1:20" ht="16.5">
      <c r="A19" s="526" t="s">
        <v>84</v>
      </c>
      <c r="B19" s="511" t="s">
        <v>753</v>
      </c>
      <c r="C19" s="520">
        <f>SUM(C20:C20)</f>
        <v>131.28142449849108</v>
      </c>
      <c r="D19" s="513"/>
      <c r="E19" s="514"/>
      <c r="F19" s="512"/>
      <c r="G19" s="512"/>
      <c r="H19" s="512"/>
      <c r="I19" s="515"/>
      <c r="J19" s="515">
        <f>SQRT(SUM(I20:I20))</f>
        <v>0.58309518948452999</v>
      </c>
      <c r="K19" s="512">
        <f>IFERROR(((C19*J19)^2)/($C$7^2),0)</f>
        <v>4.6595252402015219E-4</v>
      </c>
      <c r="L19" s="512"/>
      <c r="M19" s="512"/>
      <c r="N19" s="512"/>
      <c r="O19" s="512"/>
      <c r="P19" s="512"/>
      <c r="T19" t="s">
        <v>43</v>
      </c>
    </row>
    <row r="20" spans="1:20" ht="16.5">
      <c r="A20" s="526" t="s">
        <v>84</v>
      </c>
      <c r="B20" s="516" t="s">
        <v>28</v>
      </c>
      <c r="C20" s="527">
        <f>'3A1 Fermentación E.'!F29*RESULTADOS!E57</f>
        <v>131.28142449849108</v>
      </c>
      <c r="D20" s="528">
        <v>0.3</v>
      </c>
      <c r="E20" s="529">
        <v>0.5</v>
      </c>
      <c r="F20" s="517">
        <f>SQRT(D20^2+E20^2)</f>
        <v>0.58309518948452999</v>
      </c>
      <c r="G20" s="1819">
        <f>((C20*D20)^2)/(C$7^2)</f>
        <v>1.2334037400533443E-4</v>
      </c>
      <c r="H20" s="1819">
        <f>((C20*E20)^2)/(C$7^2)</f>
        <v>3.4261215001481779E-4</v>
      </c>
      <c r="I20" s="518">
        <f>((C20*F20)^2)/(C19^2)</f>
        <v>0.33999999999999997</v>
      </c>
      <c r="J20" s="519"/>
      <c r="K20" s="519"/>
      <c r="L20" s="519"/>
      <c r="M20" s="519"/>
      <c r="N20" s="519"/>
      <c r="O20" s="518">
        <f>((C20*F20)^2)/($C$5^2)</f>
        <v>3.8247059491112098E-5</v>
      </c>
      <c r="P20" s="518"/>
      <c r="R20" s="185" t="s">
        <v>829</v>
      </c>
      <c r="S20" s="185" t="s">
        <v>774</v>
      </c>
      <c r="T20" t="s">
        <v>43</v>
      </c>
    </row>
    <row r="21" spans="1:20" ht="16.5">
      <c r="A21" s="526" t="s">
        <v>84</v>
      </c>
      <c r="B21" s="511" t="s">
        <v>754</v>
      </c>
      <c r="C21" s="520">
        <f>SUM(C22:C22)</f>
        <v>41.207226033020127</v>
      </c>
      <c r="D21" s="513"/>
      <c r="E21" s="514"/>
      <c r="F21" s="512"/>
      <c r="G21" s="512"/>
      <c r="H21" s="512"/>
      <c r="I21" s="515"/>
      <c r="J21" s="515">
        <f>SQRT(SUM(I22:I22))</f>
        <v>0.58309518948452999</v>
      </c>
      <c r="K21" s="512">
        <f>IFERROR(((C21*J21)^2)/($C$7^2),0)</f>
        <v>4.5907312324335332E-5</v>
      </c>
      <c r="L21" s="512"/>
      <c r="M21" s="512"/>
      <c r="N21" s="512"/>
      <c r="O21" s="512"/>
      <c r="P21" s="512"/>
      <c r="T21" t="s">
        <v>43</v>
      </c>
    </row>
    <row r="22" spans="1:20" ht="16.5">
      <c r="A22" s="526" t="s">
        <v>84</v>
      </c>
      <c r="B22" s="516" t="s">
        <v>29</v>
      </c>
      <c r="C22" s="527">
        <f>'3A1 Fermentación E.'!F30*RESULTADOS!E57</f>
        <v>41.207226033020127</v>
      </c>
      <c r="D22" s="528">
        <v>0.3</v>
      </c>
      <c r="E22" s="529">
        <v>0.5</v>
      </c>
      <c r="F22" s="517">
        <f>SQRT(D22^2+E22^2)</f>
        <v>0.58309518948452999</v>
      </c>
      <c r="G22" s="1819">
        <f>((C22*D22)^2)/(C$7^2)</f>
        <v>1.2151935615265238E-5</v>
      </c>
      <c r="H22" s="1819">
        <f>((C22*E22)^2)/(C$7^2)</f>
        <v>3.3755376709070104E-5</v>
      </c>
      <c r="I22" s="518">
        <f>((C22*F22)^2)/(C21^2)</f>
        <v>0.33999999999999991</v>
      </c>
      <c r="J22" s="519"/>
      <c r="K22" s="519"/>
      <c r="L22" s="519"/>
      <c r="M22" s="519"/>
      <c r="N22" s="519"/>
      <c r="O22" s="518">
        <f>((C22*F22)^2)/($C$5^2)</f>
        <v>3.7682373525891209E-6</v>
      </c>
      <c r="P22" s="518"/>
      <c r="R22" s="185" t="s">
        <v>829</v>
      </c>
      <c r="S22" s="185" t="s">
        <v>774</v>
      </c>
      <c r="T22" t="s">
        <v>43</v>
      </c>
    </row>
    <row r="23" spans="1:20" ht="16.5">
      <c r="A23" s="526" t="s">
        <v>84</v>
      </c>
      <c r="B23" s="511" t="s">
        <v>755</v>
      </c>
      <c r="C23" s="520">
        <f>SUM(C24:C24)</f>
        <v>47.114537128181183</v>
      </c>
      <c r="D23" s="513"/>
      <c r="E23" s="514"/>
      <c r="F23" s="512"/>
      <c r="G23" s="512"/>
      <c r="H23" s="512"/>
      <c r="I23" s="515"/>
      <c r="J23" s="515">
        <f>SQRT(SUM(I24:I24))</f>
        <v>0.58309518948452999</v>
      </c>
      <c r="K23" s="512">
        <f>IFERROR(((C23*J23)^2)/($C$7^2),0)</f>
        <v>6.0012948582410741E-5</v>
      </c>
      <c r="L23" s="512"/>
      <c r="M23" s="512"/>
      <c r="N23" s="512"/>
      <c r="O23" s="512"/>
      <c r="P23" s="512"/>
      <c r="T23" t="s">
        <v>43</v>
      </c>
    </row>
    <row r="24" spans="1:20" ht="16.5">
      <c r="A24" s="526" t="s">
        <v>84</v>
      </c>
      <c r="B24" s="516" t="s">
        <v>30</v>
      </c>
      <c r="C24" s="527">
        <f>'3A1 Fermentación E.'!F31*RESULTADOS!E57</f>
        <v>47.114537128181183</v>
      </c>
      <c r="D24" s="528">
        <v>0.3</v>
      </c>
      <c r="E24" s="529">
        <v>0.5</v>
      </c>
      <c r="F24" s="517">
        <f>SQRT(D24^2+E24^2)</f>
        <v>0.58309518948452999</v>
      </c>
      <c r="G24" s="1819">
        <f>((C24*D24)^2)/(C$7^2)</f>
        <v>1.5885780507108727E-5</v>
      </c>
      <c r="H24" s="1819">
        <f>((C24*E24)^2)/(C$7^2)</f>
        <v>4.4127168075302021E-5</v>
      </c>
      <c r="I24" s="518">
        <f>((C24*F24)^2)/(C23^2)</f>
        <v>0.33999999999999997</v>
      </c>
      <c r="J24" s="519"/>
      <c r="K24" s="519"/>
      <c r="L24" s="519"/>
      <c r="M24" s="519"/>
      <c r="N24" s="519"/>
      <c r="O24" s="518">
        <f>((C24*F24)^2)/($C$5^2)</f>
        <v>4.9260787233534628E-6</v>
      </c>
      <c r="P24" s="518"/>
      <c r="R24" s="185" t="s">
        <v>829</v>
      </c>
      <c r="S24" s="185" t="s">
        <v>774</v>
      </c>
      <c r="T24" t="s">
        <v>43</v>
      </c>
    </row>
    <row r="25" spans="1:20" ht="16.5">
      <c r="A25" s="526" t="s">
        <v>84</v>
      </c>
      <c r="B25" s="511" t="s">
        <v>756</v>
      </c>
      <c r="C25" s="520">
        <f>SUM(C26:C26)</f>
        <v>0</v>
      </c>
      <c r="D25" s="513"/>
      <c r="E25" s="514"/>
      <c r="F25" s="512"/>
      <c r="G25" s="512"/>
      <c r="H25" s="512"/>
      <c r="I25" s="515"/>
      <c r="J25" s="515">
        <f>SQRT(SUM(I26:I26))</f>
        <v>0</v>
      </c>
      <c r="K25" s="512">
        <f>IFERROR(((C25*J25)^2)/($C$7^2),0)</f>
        <v>0</v>
      </c>
      <c r="L25" s="512"/>
      <c r="M25" s="512"/>
      <c r="N25" s="512"/>
      <c r="O25" s="512"/>
      <c r="P25" s="512"/>
      <c r="T25" t="s">
        <v>43</v>
      </c>
    </row>
    <row r="26" spans="1:20" ht="16.5">
      <c r="A26" s="526" t="s">
        <v>84</v>
      </c>
      <c r="B26" s="516" t="s">
        <v>757</v>
      </c>
      <c r="C26" s="527">
        <v>0</v>
      </c>
      <c r="D26" s="528"/>
      <c r="E26" s="529"/>
      <c r="F26" s="517">
        <f>SQRT(D26^2+E26^2)</f>
        <v>0</v>
      </c>
      <c r="G26" s="1819">
        <f>((C26*D26)^2)/(C$7^2)</f>
        <v>0</v>
      </c>
      <c r="H26" s="1819">
        <f>((C26*E26)^2)/(C$7^2)</f>
        <v>0</v>
      </c>
      <c r="I26" s="518"/>
      <c r="J26" s="519"/>
      <c r="K26" s="519"/>
      <c r="L26" s="519"/>
      <c r="M26" s="519"/>
      <c r="N26" s="519"/>
      <c r="O26" s="518">
        <f>((C26*F26)^2)/($C$5^2)</f>
        <v>0</v>
      </c>
      <c r="P26" s="518"/>
      <c r="T26" t="s">
        <v>43</v>
      </c>
    </row>
    <row r="27" spans="1:20" ht="16.5">
      <c r="A27" s="526" t="s">
        <v>84</v>
      </c>
      <c r="B27" s="511"/>
      <c r="C27" s="520">
        <f>SUM(C28:C28)</f>
        <v>0</v>
      </c>
      <c r="D27" s="513"/>
      <c r="E27" s="514"/>
      <c r="F27" s="512"/>
      <c r="G27" s="512"/>
      <c r="H27" s="512"/>
      <c r="I27" s="515"/>
      <c r="J27" s="515">
        <f>SQRT(SUM(I28:I28))</f>
        <v>0</v>
      </c>
      <c r="K27" s="512">
        <f>IFERROR(((C27*J27)^2)/($C$7^2),0)</f>
        <v>0</v>
      </c>
      <c r="L27" s="512"/>
      <c r="M27" s="512"/>
      <c r="N27" s="512"/>
      <c r="O27" s="512"/>
      <c r="P27" s="512"/>
      <c r="T27" t="s">
        <v>43</v>
      </c>
    </row>
    <row r="28" spans="1:20" ht="16.5">
      <c r="A28" s="526" t="s">
        <v>84</v>
      </c>
      <c r="B28" s="516"/>
      <c r="C28" s="527">
        <v>0</v>
      </c>
      <c r="D28" s="528"/>
      <c r="E28" s="529"/>
      <c r="F28" s="517">
        <f>SQRT(D28^2+E28^2)</f>
        <v>0</v>
      </c>
      <c r="G28" s="517"/>
      <c r="H28" s="517"/>
      <c r="I28" s="518"/>
      <c r="J28" s="519"/>
      <c r="K28" s="519"/>
      <c r="L28" s="519"/>
      <c r="M28" s="519"/>
      <c r="N28" s="519"/>
      <c r="O28" s="518">
        <f>((C28*F28)^2)/($C$5^2)</f>
        <v>0</v>
      </c>
      <c r="P28" s="518"/>
      <c r="T28" t="s">
        <v>43</v>
      </c>
    </row>
    <row r="29" spans="1:20" ht="17">
      <c r="A29" s="526" t="s">
        <v>84</v>
      </c>
      <c r="B29" s="542" t="s">
        <v>1156</v>
      </c>
      <c r="C29" s="521">
        <f>C30+C33+C35+C37+C39+C41+C43+C45+C47</f>
        <v>15.824680030861439</v>
      </c>
      <c r="D29" s="507"/>
      <c r="E29" s="507"/>
      <c r="F29" s="507"/>
      <c r="G29" s="507"/>
      <c r="H29" s="507"/>
      <c r="I29" s="507"/>
      <c r="J29" s="508"/>
      <c r="K29" s="508"/>
      <c r="L29" s="509">
        <f>SQRT(K30+K33+K35+K37+K39+K41+K43+K45+K47)</f>
        <v>0.26626862778115201</v>
      </c>
      <c r="M29" s="510">
        <f>((C29*L29*RESULTADOS!E57)^2)/($C$5^2)</f>
        <v>9.0852840779991951E-5</v>
      </c>
      <c r="N29" s="509"/>
      <c r="O29" s="509"/>
      <c r="P29" s="509"/>
      <c r="T29" t="s">
        <v>43</v>
      </c>
    </row>
    <row r="30" spans="1:20" ht="16.5">
      <c r="A30" s="526" t="s">
        <v>84</v>
      </c>
      <c r="B30" s="511" t="s">
        <v>758</v>
      </c>
      <c r="C30" s="520">
        <f>SUM(C31:C32)</f>
        <v>7.7236160992600142</v>
      </c>
      <c r="D30" s="513"/>
      <c r="E30" s="514"/>
      <c r="F30" s="512"/>
      <c r="G30" s="512"/>
      <c r="H30" s="512"/>
      <c r="I30" s="515"/>
      <c r="J30" s="515">
        <f>SQRT(SUM(I31:I32))</f>
        <v>0.37932149790594943</v>
      </c>
      <c r="K30" s="512">
        <f>IFERROR(((C30*J30)^2)/($C$29^2),0)</f>
        <v>3.4275705052104484E-2</v>
      </c>
      <c r="L30" s="512"/>
      <c r="M30" s="512"/>
      <c r="N30" s="512"/>
      <c r="O30" s="512"/>
      <c r="P30" s="512"/>
      <c r="T30" t="s">
        <v>43</v>
      </c>
    </row>
    <row r="31" spans="1:20" ht="16.5">
      <c r="A31" s="526" t="s">
        <v>84</v>
      </c>
      <c r="B31" s="516" t="s">
        <v>759</v>
      </c>
      <c r="C31" s="527">
        <f>SUM('3B Manejo de Estiércol CH4'!T13:T15)/1000000</f>
        <v>0.87365690126338991</v>
      </c>
      <c r="D31" s="528">
        <v>0.3</v>
      </c>
      <c r="E31" s="529">
        <v>0.3</v>
      </c>
      <c r="F31" s="517">
        <f>SQRT(D31^2+E31^2)</f>
        <v>0.42426406871192851</v>
      </c>
      <c r="G31" s="517"/>
      <c r="H31" s="517"/>
      <c r="I31" s="522">
        <f>((C31*F31)^2)/(C30^2)</f>
        <v>2.3031009295045729E-3</v>
      </c>
      <c r="J31" s="519"/>
      <c r="K31" s="519"/>
      <c r="L31" s="519"/>
      <c r="M31" s="519"/>
      <c r="N31" s="519"/>
      <c r="O31" s="518">
        <f>((C31*F31)^2)/($C$5^2)</f>
        <v>8.9674074308190408E-10</v>
      </c>
      <c r="P31" s="518"/>
      <c r="R31" s="185" t="s">
        <v>829</v>
      </c>
      <c r="S31" s="185" t="s">
        <v>775</v>
      </c>
      <c r="T31" t="s">
        <v>43</v>
      </c>
    </row>
    <row r="32" spans="1:20" ht="16.5">
      <c r="A32" s="526" t="s">
        <v>84</v>
      </c>
      <c r="B32" s="516" t="s">
        <v>760</v>
      </c>
      <c r="C32" s="527">
        <f>SUM('3B Manejo de Estiércol CH4'!T16:T24)/1000000</f>
        <v>6.8499591979966246</v>
      </c>
      <c r="D32" s="528">
        <v>0.3</v>
      </c>
      <c r="E32" s="529">
        <v>0.3</v>
      </c>
      <c r="F32" s="517">
        <f>SQRT(D32^2+E32^2)</f>
        <v>0.42426406871192851</v>
      </c>
      <c r="G32" s="517"/>
      <c r="H32" s="517"/>
      <c r="I32" s="522">
        <f>((C32*F32)^2)/(C30^2)</f>
        <v>0.14158169784410865</v>
      </c>
      <c r="J32" s="519"/>
      <c r="K32" s="519"/>
      <c r="L32" s="519"/>
      <c r="M32" s="519"/>
      <c r="N32" s="519"/>
      <c r="O32" s="518">
        <f>((C32*F32)^2)/($C$5^2)</f>
        <v>5.5126579693072675E-8</v>
      </c>
      <c r="P32" s="518"/>
      <c r="R32" s="185" t="s">
        <v>829</v>
      </c>
      <c r="S32" s="185" t="s">
        <v>775</v>
      </c>
      <c r="T32" t="s">
        <v>43</v>
      </c>
    </row>
    <row r="33" spans="1:20" ht="16.5">
      <c r="A33" s="526" t="s">
        <v>84</v>
      </c>
      <c r="B33" s="511" t="s">
        <v>761</v>
      </c>
      <c r="C33" s="520">
        <f>C34</f>
        <v>3.6137402254799995E-3</v>
      </c>
      <c r="D33" s="513"/>
      <c r="E33" s="514"/>
      <c r="F33" s="512"/>
      <c r="G33" s="512"/>
      <c r="H33" s="512"/>
      <c r="I33" s="515"/>
      <c r="J33" s="515">
        <f>SQRT(SUM(I34:I34))</f>
        <v>0.5</v>
      </c>
      <c r="K33" s="512">
        <f>IFERROR(((C33*J33)^2)/($C$29^2),0)</f>
        <v>1.303718996390317E-8</v>
      </c>
      <c r="L33" s="512"/>
      <c r="M33" s="512"/>
      <c r="N33" s="512"/>
      <c r="O33" s="512"/>
      <c r="P33" s="512"/>
      <c r="T33" t="s">
        <v>43</v>
      </c>
    </row>
    <row r="34" spans="1:20" ht="16.5">
      <c r="A34" s="526" t="s">
        <v>84</v>
      </c>
      <c r="B34" s="516" t="s">
        <v>40</v>
      </c>
      <c r="C34" s="527">
        <f>RESULTADOS!C20</f>
        <v>3.6137402254799995E-3</v>
      </c>
      <c r="D34" s="528">
        <v>0.4</v>
      </c>
      <c r="E34" s="529">
        <v>0.3</v>
      </c>
      <c r="F34" s="517">
        <f>SQRT(D34^2+E34^2)</f>
        <v>0.5</v>
      </c>
      <c r="G34" s="517"/>
      <c r="H34" s="517"/>
      <c r="I34" s="518">
        <f>((C34*F34)^2)/(C33^2)</f>
        <v>0.25</v>
      </c>
      <c r="J34" s="519"/>
      <c r="K34" s="519"/>
      <c r="L34" s="519"/>
      <c r="M34" s="519"/>
      <c r="N34" s="519"/>
      <c r="O34" s="518">
        <f>((C34*F34)^2)/($C$5^2)</f>
        <v>2.1309165481044447E-14</v>
      </c>
      <c r="P34" s="518"/>
      <c r="R34" s="185" t="s">
        <v>830</v>
      </c>
      <c r="S34" s="185" t="s">
        <v>775</v>
      </c>
      <c r="T34" t="s">
        <v>43</v>
      </c>
    </row>
    <row r="35" spans="1:20" ht="16.5">
      <c r="A35" s="526" t="s">
        <v>84</v>
      </c>
      <c r="B35" s="511" t="s">
        <v>762</v>
      </c>
      <c r="C35" s="520">
        <f>C36</f>
        <v>3.8424239627828663E-2</v>
      </c>
      <c r="D35" s="513"/>
      <c r="E35" s="514"/>
      <c r="F35" s="512"/>
      <c r="G35" s="512"/>
      <c r="H35" s="512"/>
      <c r="I35" s="515"/>
      <c r="J35" s="515">
        <f>SQRT(SUM(I36))</f>
        <v>0.42426406871192857</v>
      </c>
      <c r="K35" s="512">
        <f>IFERROR(((C35*J35)^2)/($C$29^2),0)</f>
        <v>1.0612389816900381E-6</v>
      </c>
      <c r="L35" s="512"/>
      <c r="M35" s="512"/>
      <c r="N35" s="512"/>
      <c r="O35" s="512"/>
      <c r="P35" s="512"/>
      <c r="T35" t="s">
        <v>43</v>
      </c>
    </row>
    <row r="36" spans="1:20" ht="16.5">
      <c r="A36" s="526" t="s">
        <v>84</v>
      </c>
      <c r="B36" s="516" t="s">
        <v>749</v>
      </c>
      <c r="C36" s="527">
        <f>RESULTADOS!C21</f>
        <v>3.8424239627828663E-2</v>
      </c>
      <c r="D36" s="528">
        <v>0.3</v>
      </c>
      <c r="E36" s="529">
        <v>0.3</v>
      </c>
      <c r="F36" s="517">
        <f>SQRT(D36^2+E36^2)</f>
        <v>0.42426406871192851</v>
      </c>
      <c r="G36" s="517"/>
      <c r="H36" s="517"/>
      <c r="I36" s="518">
        <f>((C36*F36)^2)/(C35^2)</f>
        <v>0.18000000000000002</v>
      </c>
      <c r="J36" s="519"/>
      <c r="K36" s="519"/>
      <c r="L36" s="519"/>
      <c r="M36" s="519"/>
      <c r="N36" s="519"/>
      <c r="O36" s="518">
        <f>((C36*F36)^2)/($C$5^2)</f>
        <v>1.734585224145782E-12</v>
      </c>
      <c r="P36" s="518"/>
      <c r="R36" s="185" t="s">
        <v>829</v>
      </c>
      <c r="S36" s="185" t="s">
        <v>775</v>
      </c>
      <c r="T36" t="s">
        <v>43</v>
      </c>
    </row>
    <row r="37" spans="1:20" ht="16.5">
      <c r="A37" s="526" t="s">
        <v>84</v>
      </c>
      <c r="B37" s="511" t="s">
        <v>763</v>
      </c>
      <c r="C37" s="520">
        <f>C38</f>
        <v>1.6244892392509715E-3</v>
      </c>
      <c r="D37" s="513"/>
      <c r="E37" s="514"/>
      <c r="F37" s="512"/>
      <c r="G37" s="512"/>
      <c r="H37" s="512"/>
      <c r="I37" s="515"/>
      <c r="J37" s="515">
        <f>SQRT(SUM(I38:I38))</f>
        <v>0.42426406871192851</v>
      </c>
      <c r="K37" s="512">
        <f>IFERROR(((C37*J37)^2)/($C$29^2),0)</f>
        <v>1.8968644961702342E-9</v>
      </c>
      <c r="L37" s="512"/>
      <c r="M37" s="512"/>
      <c r="N37" s="512"/>
      <c r="O37" s="512"/>
      <c r="P37" s="512"/>
      <c r="T37" t="s">
        <v>43</v>
      </c>
    </row>
    <row r="38" spans="1:20" ht="16.5">
      <c r="A38" s="526" t="s">
        <v>84</v>
      </c>
      <c r="B38" s="516" t="s">
        <v>27</v>
      </c>
      <c r="C38" s="527">
        <f>RESULTADOS!C22</f>
        <v>1.6244892392509715E-3</v>
      </c>
      <c r="D38" s="528">
        <v>0.3</v>
      </c>
      <c r="E38" s="529">
        <v>0.3</v>
      </c>
      <c r="F38" s="517">
        <f>SQRT(D38^2+E38^2)</f>
        <v>0.42426406871192851</v>
      </c>
      <c r="G38" s="517"/>
      <c r="H38" s="517"/>
      <c r="I38" s="518">
        <f>((C38*F38)^2)/(C37^2)</f>
        <v>0.18</v>
      </c>
      <c r="J38" s="519"/>
      <c r="K38" s="519"/>
      <c r="L38" s="519"/>
      <c r="M38" s="519"/>
      <c r="N38" s="519"/>
      <c r="O38" s="518">
        <f>((C38*F38)^2)/($C$5^2)</f>
        <v>3.1004073389990017E-15</v>
      </c>
      <c r="P38" s="518"/>
      <c r="R38" s="185" t="s">
        <v>829</v>
      </c>
      <c r="S38" s="185" t="s">
        <v>775</v>
      </c>
      <c r="T38" t="s">
        <v>43</v>
      </c>
    </row>
    <row r="39" spans="1:20" ht="16.5">
      <c r="A39" s="526" t="s">
        <v>84</v>
      </c>
      <c r="B39" s="511" t="s">
        <v>764</v>
      </c>
      <c r="C39" s="520">
        <f>C40</f>
        <v>3.3828107345084419E-3</v>
      </c>
      <c r="D39" s="513"/>
      <c r="E39" s="514"/>
      <c r="F39" s="512"/>
      <c r="G39" s="512"/>
      <c r="H39" s="512"/>
      <c r="I39" s="515"/>
      <c r="J39" s="515">
        <f>SQRT(SUM(I40:I40))</f>
        <v>0.5</v>
      </c>
      <c r="K39" s="512">
        <f>IFERROR(((C39*J39)^2)/($C$29^2),0)</f>
        <v>1.1424193060554576E-8</v>
      </c>
      <c r="L39" s="512"/>
      <c r="M39" s="512"/>
      <c r="N39" s="512"/>
      <c r="O39" s="512"/>
      <c r="P39" s="512"/>
      <c r="T39" t="s">
        <v>43</v>
      </c>
    </row>
    <row r="40" spans="1:20" ht="16.5">
      <c r="A40" s="526" t="s">
        <v>84</v>
      </c>
      <c r="B40" s="516" t="s">
        <v>752</v>
      </c>
      <c r="C40" s="527">
        <f>RESULTADOS!C23</f>
        <v>3.3828107345084419E-3</v>
      </c>
      <c r="D40" s="528">
        <v>0.4</v>
      </c>
      <c r="E40" s="529">
        <v>0.3</v>
      </c>
      <c r="F40" s="517">
        <f>SQRT(D40^2+E40^2)</f>
        <v>0.5</v>
      </c>
      <c r="G40" s="517"/>
      <c r="H40" s="517"/>
      <c r="I40" s="518">
        <f>((C40*F40)^2)/(C39^2)</f>
        <v>0.25</v>
      </c>
      <c r="J40" s="519"/>
      <c r="K40" s="519"/>
      <c r="L40" s="519"/>
      <c r="M40" s="519"/>
      <c r="N40" s="519"/>
      <c r="O40" s="518">
        <f>((C40*F40)^2)/($C$5^2)</f>
        <v>1.8672737076684752E-14</v>
      </c>
      <c r="P40" s="518"/>
      <c r="R40" s="185" t="s">
        <v>829</v>
      </c>
      <c r="S40" s="185" t="s">
        <v>775</v>
      </c>
      <c r="T40" t="s">
        <v>43</v>
      </c>
    </row>
    <row r="41" spans="1:20" ht="16.5">
      <c r="A41" s="526" t="s">
        <v>84</v>
      </c>
      <c r="B41" s="511" t="s">
        <v>765</v>
      </c>
      <c r="C41" s="520">
        <f>C42</f>
        <v>0.30629006586893964</v>
      </c>
      <c r="D41" s="513"/>
      <c r="E41" s="514"/>
      <c r="F41" s="512"/>
      <c r="G41" s="512"/>
      <c r="H41" s="512"/>
      <c r="I41" s="515"/>
      <c r="J41" s="515">
        <f>SQRT(SUM(I42:I42))</f>
        <v>0.42426406871192857</v>
      </c>
      <c r="K41" s="512">
        <f>IFERROR(((C41*J41)^2)/($C$29^2),0)</f>
        <v>6.7432374468255274E-5</v>
      </c>
      <c r="L41" s="512"/>
      <c r="M41" s="512"/>
      <c r="N41" s="512"/>
      <c r="O41" s="512"/>
      <c r="P41" s="512"/>
      <c r="T41" t="s">
        <v>43</v>
      </c>
    </row>
    <row r="42" spans="1:20" ht="16.5">
      <c r="A42" s="526" t="s">
        <v>84</v>
      </c>
      <c r="B42" s="516" t="s">
        <v>28</v>
      </c>
      <c r="C42" s="527">
        <f>RESULTADOS!C24</f>
        <v>0.30629006586893964</v>
      </c>
      <c r="D42" s="528">
        <v>0.3</v>
      </c>
      <c r="E42" s="529">
        <v>0.3</v>
      </c>
      <c r="F42" s="517">
        <f>SQRT(D42^2+E42^2)</f>
        <v>0.42426406871192851</v>
      </c>
      <c r="G42" s="517"/>
      <c r="H42" s="517"/>
      <c r="I42" s="518">
        <f>((C42*F42)^2)/(C41^2)</f>
        <v>0.18000000000000002</v>
      </c>
      <c r="J42" s="519"/>
      <c r="K42" s="519"/>
      <c r="L42" s="519"/>
      <c r="M42" s="519"/>
      <c r="N42" s="519"/>
      <c r="O42" s="518">
        <f>((C42*F42)^2)/($C$5^2)</f>
        <v>1.102175875554712E-10</v>
      </c>
      <c r="P42" s="518"/>
      <c r="R42" s="185" t="s">
        <v>829</v>
      </c>
      <c r="S42" s="185" t="s">
        <v>775</v>
      </c>
      <c r="T42" t="s">
        <v>43</v>
      </c>
    </row>
    <row r="43" spans="1:20" ht="16.5">
      <c r="A43" s="526" t="s">
        <v>84</v>
      </c>
      <c r="B43" s="511" t="s">
        <v>766</v>
      </c>
      <c r="C43" s="520">
        <f>C44</f>
        <v>9.4523960712898147E-2</v>
      </c>
      <c r="D43" s="513"/>
      <c r="E43" s="514"/>
      <c r="F43" s="512"/>
      <c r="G43" s="512"/>
      <c r="H43" s="512"/>
      <c r="I43" s="515"/>
      <c r="J43" s="515">
        <f>SQRT(SUM(I44:I44))</f>
        <v>0.42426406871192851</v>
      </c>
      <c r="K43" s="512">
        <f>IFERROR(((C43*J43)^2)/($C$29^2),0)</f>
        <v>6.422238830805877E-6</v>
      </c>
      <c r="L43" s="512"/>
      <c r="M43" s="512"/>
      <c r="N43" s="512"/>
      <c r="O43" s="512"/>
      <c r="P43" s="512"/>
      <c r="T43" t="s">
        <v>43</v>
      </c>
    </row>
    <row r="44" spans="1:20" ht="16.5">
      <c r="A44" s="526" t="s">
        <v>84</v>
      </c>
      <c r="B44" s="516" t="s">
        <v>29</v>
      </c>
      <c r="C44" s="527">
        <f>RESULTADOS!C25</f>
        <v>9.4523960712898147E-2</v>
      </c>
      <c r="D44" s="528">
        <v>0.3</v>
      </c>
      <c r="E44" s="529">
        <v>0.3</v>
      </c>
      <c r="F44" s="517">
        <f>SQRT(D44^2+E44^2)</f>
        <v>0.42426406871192851</v>
      </c>
      <c r="G44" s="517"/>
      <c r="H44" s="517"/>
      <c r="I44" s="518">
        <f>((C44*F44)^2)/(C43^2)</f>
        <v>0.18</v>
      </c>
      <c r="J44" s="519"/>
      <c r="K44" s="519"/>
      <c r="L44" s="519"/>
      <c r="M44" s="519"/>
      <c r="N44" s="519"/>
      <c r="O44" s="518">
        <f>((C44*F44)^2)/($C$5^2)</f>
        <v>1.0497089509575568E-11</v>
      </c>
      <c r="P44" s="518"/>
      <c r="R44" s="185" t="s">
        <v>829</v>
      </c>
      <c r="S44" s="185" t="s">
        <v>775</v>
      </c>
      <c r="T44" t="s">
        <v>43</v>
      </c>
    </row>
    <row r="45" spans="1:20" ht="16.5">
      <c r="A45" s="526" t="s">
        <v>84</v>
      </c>
      <c r="B45" s="511" t="s">
        <v>767</v>
      </c>
      <c r="C45" s="520">
        <f>C46</f>
        <v>7.1009401626872783</v>
      </c>
      <c r="D45" s="513"/>
      <c r="E45" s="514"/>
      <c r="F45" s="512"/>
      <c r="G45" s="512"/>
      <c r="H45" s="512"/>
      <c r="I45" s="515"/>
      <c r="J45" s="515">
        <f>SQRT(SUM(I46:I46))</f>
        <v>0.42426406871192851</v>
      </c>
      <c r="K45" s="512">
        <f>IFERROR(((C45*J45)^2)/($C$29^2),0)</f>
        <v>3.6243850980853934E-2</v>
      </c>
      <c r="L45" s="512"/>
      <c r="M45" s="512"/>
      <c r="N45" s="512"/>
      <c r="O45" s="512"/>
      <c r="P45" s="512"/>
      <c r="T45" t="s">
        <v>43</v>
      </c>
    </row>
    <row r="46" spans="1:20" ht="16.5">
      <c r="A46" s="526" t="s">
        <v>84</v>
      </c>
      <c r="B46" s="516" t="s">
        <v>30</v>
      </c>
      <c r="C46" s="527">
        <f>RESULTADOS!C26</f>
        <v>7.1009401626872783</v>
      </c>
      <c r="D46" s="528">
        <v>0.3</v>
      </c>
      <c r="E46" s="529">
        <v>0.3</v>
      </c>
      <c r="F46" s="517">
        <f>SQRT(D46^2+E46^2)</f>
        <v>0.42426406871192851</v>
      </c>
      <c r="G46" s="517"/>
      <c r="H46" s="517"/>
      <c r="I46" s="518">
        <f>((C46*F46)^2)/(C45^2)</f>
        <v>0.18</v>
      </c>
      <c r="J46" s="519"/>
      <c r="K46" s="519"/>
      <c r="L46" s="519"/>
      <c r="M46" s="519"/>
      <c r="N46" s="519"/>
      <c r="O46" s="518">
        <f>((C46*F46)^2)/($C$5^2)</f>
        <v>5.9240236612315706E-8</v>
      </c>
      <c r="P46" s="518"/>
      <c r="R46" s="185" t="s">
        <v>829</v>
      </c>
      <c r="S46" s="185" t="s">
        <v>775</v>
      </c>
      <c r="T46" t="s">
        <v>43</v>
      </c>
    </row>
    <row r="47" spans="1:20" ht="16.5">
      <c r="A47" s="526" t="s">
        <v>84</v>
      </c>
      <c r="B47" s="511" t="s">
        <v>768</v>
      </c>
      <c r="C47" s="520">
        <f>C48</f>
        <v>0.55226446250524119</v>
      </c>
      <c r="D47" s="513"/>
      <c r="E47" s="514"/>
      <c r="F47" s="512"/>
      <c r="G47" s="512"/>
      <c r="H47" s="512"/>
      <c r="I47" s="515"/>
      <c r="J47" s="515">
        <f>SQRT(SUM(I48:I48))</f>
        <v>0.5</v>
      </c>
      <c r="K47" s="512">
        <f>IFERROR(((C47*J47)^2)/($C$29^2),0)</f>
        <v>3.0448389697097572E-4</v>
      </c>
      <c r="L47" s="512"/>
      <c r="M47" s="512"/>
      <c r="N47" s="512"/>
      <c r="O47" s="512"/>
      <c r="P47" s="512"/>
      <c r="T47" t="s">
        <v>43</v>
      </c>
    </row>
    <row r="48" spans="1:20" ht="16.5">
      <c r="A48" s="526" t="s">
        <v>84</v>
      </c>
      <c r="B48" s="516" t="s">
        <v>757</v>
      </c>
      <c r="C48" s="527">
        <f>SUM(RESULTADOS!C27)</f>
        <v>0.55226446250524119</v>
      </c>
      <c r="D48" s="528">
        <v>0.4</v>
      </c>
      <c r="E48" s="529">
        <v>0.3</v>
      </c>
      <c r="F48" s="517">
        <f>SQRT(D48^2+E48^2)</f>
        <v>0.5</v>
      </c>
      <c r="G48" s="517"/>
      <c r="H48" s="517"/>
      <c r="I48" s="518">
        <f>((C48*F48)^2)/(C47^2)</f>
        <v>0.25</v>
      </c>
      <c r="J48" s="519"/>
      <c r="K48" s="519"/>
      <c r="L48" s="519"/>
      <c r="M48" s="519"/>
      <c r="N48" s="519"/>
      <c r="O48" s="518">
        <f>((C48*F48)^2)/($C$5^2)</f>
        <v>4.9767609161424652E-10</v>
      </c>
      <c r="P48" s="518"/>
      <c r="R48" s="185" t="s">
        <v>831</v>
      </c>
      <c r="S48" s="185" t="s">
        <v>775</v>
      </c>
      <c r="T48" t="s">
        <v>43</v>
      </c>
    </row>
    <row r="49" spans="1:20" ht="17">
      <c r="A49" s="526" t="s">
        <v>84</v>
      </c>
      <c r="B49" s="542" t="s">
        <v>769</v>
      </c>
      <c r="C49" s="531">
        <f>C50+C52+C54+C56</f>
        <v>37.734055555402222</v>
      </c>
      <c r="D49" s="507"/>
      <c r="E49" s="507"/>
      <c r="F49" s="507"/>
      <c r="G49" s="507"/>
      <c r="H49" s="507"/>
      <c r="I49" s="507"/>
      <c r="J49" s="508"/>
      <c r="K49" s="508"/>
      <c r="L49" s="509">
        <f>SQRT(K50+K52+K54+K56)</f>
        <v>0.47893543518982523</v>
      </c>
      <c r="M49" s="510">
        <f>((C49*L49*RESULTADOS!E57)^2)/($C$5^2)</f>
        <v>1.6712812704142027E-3</v>
      </c>
      <c r="N49" s="509"/>
      <c r="O49" s="509"/>
      <c r="P49" s="509"/>
      <c r="T49" t="s">
        <v>43</v>
      </c>
    </row>
    <row r="50" spans="1:20" ht="33">
      <c r="A50" s="526" t="s">
        <v>84</v>
      </c>
      <c r="B50" s="511" t="str">
        <f>RESULTADOS!B39</f>
        <v xml:space="preserve">          1  Irrigados - inundados intermitentemente -aireación multiple</v>
      </c>
      <c r="C50" s="520">
        <f>SUM(C51:C51)</f>
        <v>8.9369806116788997</v>
      </c>
      <c r="D50" s="513"/>
      <c r="E50" s="514"/>
      <c r="F50" s="512"/>
      <c r="G50" s="512"/>
      <c r="H50" s="512"/>
      <c r="I50" s="515"/>
      <c r="J50" s="515">
        <f>SQRT(SUM(I51:I51))</f>
        <v>0.61773780845922011</v>
      </c>
      <c r="K50" s="512">
        <f>IFERROR(((C50*J50)^2)/($C$49^2),0)</f>
        <v>2.1405384260138351E-2</v>
      </c>
      <c r="L50" s="512"/>
      <c r="M50" s="512"/>
      <c r="N50" s="512"/>
      <c r="O50" s="512"/>
      <c r="P50" s="512"/>
      <c r="T50" t="s">
        <v>43</v>
      </c>
    </row>
    <row r="51" spans="1:20" ht="33">
      <c r="A51" s="526" t="s">
        <v>84</v>
      </c>
      <c r="B51" s="516" t="str">
        <f>RESULTADOS!B39</f>
        <v xml:space="preserve">          1  Irrigados - inundados intermitentemente -aireación multiple</v>
      </c>
      <c r="C51" s="527">
        <f>RESULTADOS!C39</f>
        <v>8.9369806116788997</v>
      </c>
      <c r="D51" s="528">
        <v>0.3</v>
      </c>
      <c r="E51" s="529">
        <v>0.54</v>
      </c>
      <c r="F51" s="517">
        <f>SQRT(D51^2+E51^2)</f>
        <v>0.61773780845922011</v>
      </c>
      <c r="G51" s="517"/>
      <c r="H51" s="517"/>
      <c r="I51" s="518">
        <f>((C51*F51)^2)/(C50^2)</f>
        <v>0.38160000000000011</v>
      </c>
      <c r="J51" s="519"/>
      <c r="K51" s="519"/>
      <c r="L51" s="519"/>
      <c r="M51" s="519"/>
      <c r="N51" s="519"/>
      <c r="O51" s="518">
        <f>((C51*F51)^2)/($C$5^2)</f>
        <v>1.9893104815335684E-7</v>
      </c>
      <c r="P51" s="518"/>
      <c r="R51" s="185" t="s">
        <v>771</v>
      </c>
      <c r="S51" s="185" t="s">
        <v>776</v>
      </c>
      <c r="T51" t="s">
        <v>43</v>
      </c>
    </row>
    <row r="52" spans="1:20" ht="33">
      <c r="A52" s="526" t="s">
        <v>84</v>
      </c>
      <c r="B52" s="511" t="str">
        <f>B53</f>
        <v xml:space="preserve">          2  Secano y aguas profundas -alimentación por lluvia</v>
      </c>
      <c r="C52" s="520">
        <f>SUM(C53)</f>
        <v>27.856951009248007</v>
      </c>
      <c r="D52" s="513"/>
      <c r="E52" s="514"/>
      <c r="F52" s="512"/>
      <c r="G52" s="512"/>
      <c r="H52" s="512"/>
      <c r="I52" s="515"/>
      <c r="J52" s="515">
        <f>SQRT(SUM(I53:I53))</f>
        <v>0.61773780845922011</v>
      </c>
      <c r="K52" s="512">
        <f>IFERROR(((C52*J52)^2)/($C$49^2),0)</f>
        <v>0.20797376682032892</v>
      </c>
      <c r="L52" s="512"/>
      <c r="M52" s="512"/>
      <c r="N52" s="512"/>
      <c r="O52" s="512"/>
      <c r="P52" s="512"/>
      <c r="T52" t="s">
        <v>43</v>
      </c>
    </row>
    <row r="53" spans="1:20" ht="33">
      <c r="A53" s="526" t="s">
        <v>84</v>
      </c>
      <c r="B53" s="516" t="str">
        <f>RESULTADOS!B40</f>
        <v xml:space="preserve">          2  Secano y aguas profundas -alimentación por lluvia</v>
      </c>
      <c r="C53" s="527">
        <f>RESULTADOS!C40</f>
        <v>27.856951009248007</v>
      </c>
      <c r="D53" s="528">
        <v>0.3</v>
      </c>
      <c r="E53" s="529">
        <v>0.54</v>
      </c>
      <c r="F53" s="517">
        <f>SQRT(D53^2+E53^2)</f>
        <v>0.61773780845922011</v>
      </c>
      <c r="G53" s="517"/>
      <c r="H53" s="517"/>
      <c r="I53" s="518">
        <f>((C53*F53)^2)/(C52^2)</f>
        <v>0.38160000000000016</v>
      </c>
      <c r="J53" s="519"/>
      <c r="K53" s="519"/>
      <c r="L53" s="519"/>
      <c r="M53" s="519"/>
      <c r="N53" s="519"/>
      <c r="O53" s="518">
        <f>((C53*F53)^2)/($C$5^2)</f>
        <v>1.9328052661504731E-6</v>
      </c>
      <c r="P53" s="518"/>
      <c r="R53" s="185" t="s">
        <v>771</v>
      </c>
      <c r="S53" s="185" t="s">
        <v>776</v>
      </c>
      <c r="T53" t="s">
        <v>43</v>
      </c>
    </row>
    <row r="54" spans="1:20" ht="33">
      <c r="A54" s="526" t="s">
        <v>84</v>
      </c>
      <c r="B54" s="511" t="str">
        <f>B55</f>
        <v xml:space="preserve">          3  Secano y aguas profundas -aguas profundas</v>
      </c>
      <c r="C54" s="520">
        <f>SUM(C55:C55)</f>
        <v>0.94012393447531306</v>
      </c>
      <c r="D54" s="513"/>
      <c r="E54" s="514"/>
      <c r="F54" s="512"/>
      <c r="G54" s="512"/>
      <c r="H54" s="512"/>
      <c r="I54" s="515"/>
      <c r="J54" s="515">
        <f>SQRT(SUM(I55:I55))</f>
        <v>0</v>
      </c>
      <c r="K54" s="512">
        <f>IFERROR(((C54*J54)^2)/($C$49^2),0)</f>
        <v>0</v>
      </c>
      <c r="L54" s="512"/>
      <c r="M54" s="512"/>
      <c r="N54" s="512"/>
      <c r="O54" s="512"/>
      <c r="P54" s="512"/>
      <c r="T54" t="s">
        <v>43</v>
      </c>
    </row>
    <row r="55" spans="1:20" ht="33">
      <c r="A55" s="526" t="s">
        <v>84</v>
      </c>
      <c r="B55" s="516" t="str">
        <f>RESULTADOS!B41</f>
        <v xml:space="preserve">          3  Secano y aguas profundas -aguas profundas</v>
      </c>
      <c r="C55" s="527">
        <f>RESULTADOS!C41</f>
        <v>0.94012393447531306</v>
      </c>
      <c r="D55" s="528">
        <v>0.3</v>
      </c>
      <c r="E55" s="529">
        <v>0.54</v>
      </c>
      <c r="F55" s="517">
        <f>SQRT(D55^2+E55^2)</f>
        <v>0.61773780845922011</v>
      </c>
      <c r="G55" s="517"/>
      <c r="H55" s="517"/>
      <c r="I55" s="518">
        <v>0</v>
      </c>
      <c r="J55" s="519"/>
      <c r="K55" s="519"/>
      <c r="L55" s="519"/>
      <c r="M55" s="519"/>
      <c r="N55" s="519"/>
      <c r="O55" s="518">
        <f>((C55*F55)^2)/($C$5^2)</f>
        <v>2.2013604434713696E-9</v>
      </c>
      <c r="P55" s="518"/>
      <c r="R55" s="185" t="s">
        <v>771</v>
      </c>
      <c r="S55" s="185" t="s">
        <v>776</v>
      </c>
      <c r="T55" t="s">
        <v>43</v>
      </c>
    </row>
    <row r="56" spans="1:20" ht="16.5">
      <c r="A56" s="526" t="s">
        <v>84</v>
      </c>
      <c r="B56" s="511"/>
      <c r="C56" s="512"/>
      <c r="D56" s="513"/>
      <c r="E56" s="514"/>
      <c r="F56" s="512"/>
      <c r="G56" s="512"/>
      <c r="H56" s="512"/>
      <c r="I56" s="515"/>
      <c r="J56" s="515"/>
      <c r="K56" s="512"/>
      <c r="L56" s="512"/>
      <c r="M56" s="512"/>
      <c r="N56" s="512"/>
      <c r="O56" s="512"/>
      <c r="P56" s="512"/>
      <c r="T56" t="s">
        <v>43</v>
      </c>
    </row>
    <row r="57" spans="1:20" ht="31" customHeight="1">
      <c r="A57" s="543" t="s">
        <v>85</v>
      </c>
      <c r="B57" s="542" t="s">
        <v>1157</v>
      </c>
      <c r="C57" s="531">
        <f>C58+C61+C63+C65+C67+C69+C71+C73+C75</f>
        <v>8.2149879451996579</v>
      </c>
      <c r="D57" s="507"/>
      <c r="E57" s="507"/>
      <c r="F57" s="507"/>
      <c r="G57" s="507"/>
      <c r="H57" s="507"/>
      <c r="I57" s="507"/>
      <c r="J57" s="508"/>
      <c r="K57" s="508"/>
      <c r="L57" s="509">
        <f>SQRT(K58+K63+K65+K67+K69+K71+K73+K75+K61)</f>
        <v>0.50641644580940692</v>
      </c>
      <c r="M57" s="510">
        <f>((C57*L57*RESULTADOS!E58)^2)/($C$5^2)</f>
        <v>7.9329329571184298E-3</v>
      </c>
      <c r="N57" s="509"/>
      <c r="O57" s="509"/>
      <c r="P57" s="509"/>
    </row>
    <row r="58" spans="1:20" ht="16.5">
      <c r="A58" s="543" t="s">
        <v>85</v>
      </c>
      <c r="B58" s="511" t="s">
        <v>758</v>
      </c>
      <c r="C58" s="1813">
        <f>SUM(C59:C60)</f>
        <v>0.11543817555655492</v>
      </c>
      <c r="D58" s="513"/>
      <c r="E58" s="514"/>
      <c r="F58" s="512"/>
      <c r="G58" s="512"/>
      <c r="H58" s="512"/>
      <c r="I58" s="515"/>
      <c r="J58" s="515">
        <f>SQRT(SUM(I59:I60))</f>
        <v>0.46430298293172267</v>
      </c>
      <c r="K58" s="512">
        <f>IFERROR(((C58*J58)^2)/($C$57^2),0)</f>
        <v>4.2568465523055423E-5</v>
      </c>
      <c r="L58" s="512"/>
      <c r="M58" s="512"/>
      <c r="N58" s="512"/>
      <c r="O58" s="512"/>
      <c r="P58" s="512"/>
    </row>
    <row r="59" spans="1:20" ht="16.5">
      <c r="A59" s="543" t="s">
        <v>85</v>
      </c>
      <c r="B59" s="516" t="s">
        <v>759</v>
      </c>
      <c r="C59" s="1814">
        <f>SUM('3B Gestión Estiércol N2O Dir'!U15:U17)/1000000</f>
        <v>8.7605178069862691E-2</v>
      </c>
      <c r="D59" s="528">
        <v>0.3</v>
      </c>
      <c r="E59" s="529">
        <v>0.5</v>
      </c>
      <c r="F59" s="517">
        <f>SQRT(D59^2+E59^2)</f>
        <v>0.58309518948452999</v>
      </c>
      <c r="G59" s="517"/>
      <c r="H59" s="517"/>
      <c r="I59" s="522">
        <f>((C59*F59)^2)/(C58^2)</f>
        <v>0.19581211657885181</v>
      </c>
      <c r="J59" s="519"/>
      <c r="K59" s="519"/>
      <c r="L59" s="519"/>
      <c r="M59" s="519"/>
      <c r="N59" s="519"/>
      <c r="O59" s="518">
        <f>((C59*F59)^2)/($C$5^2)</f>
        <v>1.7031427252622059E-11</v>
      </c>
      <c r="P59" s="518"/>
      <c r="R59" s="185" t="s">
        <v>829</v>
      </c>
      <c r="S59" s="185" t="s">
        <v>772</v>
      </c>
      <c r="T59" t="s">
        <v>43</v>
      </c>
    </row>
    <row r="60" spans="1:20" ht="16.5">
      <c r="A60" s="543" t="s">
        <v>85</v>
      </c>
      <c r="B60" s="516" t="s">
        <v>760</v>
      </c>
      <c r="C60" s="1814">
        <f>SUM('3B Gestión Estiércol N2O Dir'!U18:U26)/1000000</f>
        <v>2.7832997486692219E-2</v>
      </c>
      <c r="D60" s="528">
        <v>0.3</v>
      </c>
      <c r="E60" s="529">
        <v>0.5</v>
      </c>
      <c r="F60" s="517">
        <f>SQRT(D60^2+E60^2)</f>
        <v>0.58309518948452999</v>
      </c>
      <c r="G60" s="517"/>
      <c r="H60" s="517"/>
      <c r="I60" s="522">
        <f>((C60*F60)^2)/(C58^2)</f>
        <v>1.9765143380443734E-2</v>
      </c>
      <c r="J60" s="519"/>
      <c r="K60" s="519"/>
      <c r="L60" s="519"/>
      <c r="M60" s="519"/>
      <c r="N60" s="519"/>
      <c r="O60" s="518">
        <f>((C60*F60)^2)/($C$5^2)</f>
        <v>1.7191408146906707E-12</v>
      </c>
      <c r="P60" s="518"/>
      <c r="R60" s="185" t="s">
        <v>829</v>
      </c>
      <c r="S60" s="185" t="s">
        <v>772</v>
      </c>
      <c r="T60" t="s">
        <v>43</v>
      </c>
    </row>
    <row r="61" spans="1:20" ht="16.5">
      <c r="A61" s="543" t="s">
        <v>85</v>
      </c>
      <c r="B61" s="511" t="s">
        <v>761</v>
      </c>
      <c r="C61" s="1813">
        <f>SUM(C62:C62)</f>
        <v>3.4125677189999999E-4</v>
      </c>
      <c r="D61" s="513"/>
      <c r="E61" s="514"/>
      <c r="F61" s="512"/>
      <c r="G61" s="512"/>
      <c r="H61" s="512"/>
      <c r="I61" s="515"/>
      <c r="J61" s="515">
        <f>SQRT(SUM(I62:I62))</f>
        <v>0.6403124237432849</v>
      </c>
      <c r="K61" s="512">
        <f>IFERROR(((C61*J61)^2)/($C$57^2),0)</f>
        <v>7.0750995066473294E-10</v>
      </c>
      <c r="L61" s="512"/>
      <c r="M61" s="512"/>
      <c r="N61" s="512"/>
      <c r="O61" s="512"/>
      <c r="P61" s="512"/>
      <c r="T61" t="s">
        <v>43</v>
      </c>
    </row>
    <row r="62" spans="1:20" ht="16.5">
      <c r="A62" s="543" t="s">
        <v>85</v>
      </c>
      <c r="B62" s="516" t="s">
        <v>40</v>
      </c>
      <c r="C62" s="1814">
        <f>RESULTADOS!D20</f>
        <v>3.4125677189999999E-4</v>
      </c>
      <c r="D62" s="528">
        <v>0.4</v>
      </c>
      <c r="E62" s="529">
        <v>0.5</v>
      </c>
      <c r="F62" s="517">
        <f>SQRT(D62^2+E62^2)</f>
        <v>0.6403124237432849</v>
      </c>
      <c r="G62" s="517"/>
      <c r="H62" s="517"/>
      <c r="I62" s="518">
        <f>((C62*F62)^2)/(C61^2)</f>
        <v>0.41000000000000009</v>
      </c>
      <c r="J62" s="519"/>
      <c r="K62" s="519"/>
      <c r="L62" s="519"/>
      <c r="M62" s="519"/>
      <c r="N62" s="519"/>
      <c r="O62" s="518">
        <f>((C62*F62)^2)/($C$5^2)</f>
        <v>3.1164415548535704E-16</v>
      </c>
      <c r="P62" s="518"/>
      <c r="R62" s="185" t="s">
        <v>830</v>
      </c>
      <c r="S62" s="185" t="s">
        <v>772</v>
      </c>
      <c r="T62" t="s">
        <v>43</v>
      </c>
    </row>
    <row r="63" spans="1:20" ht="16.5">
      <c r="A63" s="543" t="s">
        <v>85</v>
      </c>
      <c r="B63" s="511" t="s">
        <v>762</v>
      </c>
      <c r="C63" s="1813">
        <f>SUM(C64:C64)</f>
        <v>3.8424239627828663E-2</v>
      </c>
      <c r="D63" s="513"/>
      <c r="E63" s="514"/>
      <c r="F63" s="512"/>
      <c r="G63" s="512"/>
      <c r="H63" s="512"/>
      <c r="I63" s="515"/>
      <c r="J63" s="515">
        <f>SQRT(SUM(I64:I64))</f>
        <v>0.58309518948452999</v>
      </c>
      <c r="K63" s="512">
        <f>IFERROR(((C63*J63)^2)/($C$57^2),0)</f>
        <v>7.4383330549312054E-6</v>
      </c>
      <c r="L63" s="512"/>
      <c r="M63" s="512"/>
      <c r="N63" s="512"/>
      <c r="O63" s="512"/>
      <c r="P63" s="512"/>
      <c r="T63" t="s">
        <v>43</v>
      </c>
    </row>
    <row r="64" spans="1:20" ht="16.5">
      <c r="A64" s="543" t="s">
        <v>85</v>
      </c>
      <c r="B64" s="516" t="s">
        <v>749</v>
      </c>
      <c r="C64" s="1814">
        <f>RESULTADOS!C21</f>
        <v>3.8424239627828663E-2</v>
      </c>
      <c r="D64" s="528">
        <v>0.3</v>
      </c>
      <c r="E64" s="529">
        <v>0.5</v>
      </c>
      <c r="F64" s="517">
        <f>SQRT(D64^2+E64^2)</f>
        <v>0.58309518948452999</v>
      </c>
      <c r="G64" s="517"/>
      <c r="H64" s="517"/>
      <c r="I64" s="518">
        <f>((C64*F64)^2)/(C63^2)</f>
        <v>0.33999999999999991</v>
      </c>
      <c r="J64" s="519"/>
      <c r="K64" s="519"/>
      <c r="L64" s="519"/>
      <c r="M64" s="519"/>
      <c r="N64" s="519"/>
      <c r="O64" s="518">
        <f>((C64*F64)^2)/($C$5^2)</f>
        <v>3.2764387567198095E-12</v>
      </c>
      <c r="P64" s="518"/>
      <c r="R64" s="185" t="s">
        <v>829</v>
      </c>
      <c r="S64" s="185" t="s">
        <v>772</v>
      </c>
      <c r="T64" t="s">
        <v>43</v>
      </c>
    </row>
    <row r="65" spans="1:26" ht="16.5">
      <c r="A65" s="543" t="s">
        <v>85</v>
      </c>
      <c r="B65" s="511" t="s">
        <v>763</v>
      </c>
      <c r="C65" s="1813">
        <f>SUM(C66:C66)</f>
        <v>3.3828107345084419E-3</v>
      </c>
      <c r="D65" s="513"/>
      <c r="E65" s="514"/>
      <c r="F65" s="512"/>
      <c r="G65" s="512"/>
      <c r="H65" s="512"/>
      <c r="I65" s="515"/>
      <c r="J65" s="515">
        <f>SQRT(SUM(I66:I66))</f>
        <v>0.58309518948452999</v>
      </c>
      <c r="K65" s="512">
        <f>IFERROR(((C65*J65)^2)/($C$57^2),0)</f>
        <v>5.7652806880215137E-8</v>
      </c>
      <c r="L65" s="512"/>
      <c r="M65" s="512"/>
      <c r="N65" s="512"/>
      <c r="O65" s="512"/>
      <c r="P65" s="512"/>
      <c r="T65" t="s">
        <v>43</v>
      </c>
    </row>
    <row r="66" spans="1:26" ht="16.5">
      <c r="A66" s="543" t="s">
        <v>85</v>
      </c>
      <c r="B66" s="516" t="s">
        <v>27</v>
      </c>
      <c r="C66" s="1814">
        <f>RESULTADOS!C23</f>
        <v>3.3828107345084419E-3</v>
      </c>
      <c r="D66" s="528">
        <v>0.3</v>
      </c>
      <c r="E66" s="529">
        <v>0.5</v>
      </c>
      <c r="F66" s="517">
        <f>SQRT(D66^2+E66^2)</f>
        <v>0.58309518948452999</v>
      </c>
      <c r="G66" s="517"/>
      <c r="H66" s="517"/>
      <c r="I66" s="518">
        <f>((C66*F66)^2)/(C65^2)</f>
        <v>0.33999999999999991</v>
      </c>
      <c r="J66" s="519"/>
      <c r="K66" s="519"/>
      <c r="L66" s="519"/>
      <c r="M66" s="519"/>
      <c r="N66" s="519"/>
      <c r="O66" s="518">
        <f>((C66*F66)^2)/($C$5^2)</f>
        <v>2.5394922424291255E-14</v>
      </c>
      <c r="P66" s="518"/>
      <c r="R66" s="185" t="s">
        <v>829</v>
      </c>
      <c r="S66" s="185" t="s">
        <v>772</v>
      </c>
      <c r="T66" t="s">
        <v>43</v>
      </c>
    </row>
    <row r="67" spans="1:26" ht="16.5">
      <c r="A67" s="543" t="s">
        <v>85</v>
      </c>
      <c r="B67" s="511" t="s">
        <v>764</v>
      </c>
      <c r="C67" s="1813">
        <f>SUM(C68:C68)</f>
        <v>3.3828107345084419E-3</v>
      </c>
      <c r="D67" s="513"/>
      <c r="E67" s="514"/>
      <c r="F67" s="512"/>
      <c r="G67" s="512"/>
      <c r="H67" s="512"/>
      <c r="I67" s="515"/>
      <c r="J67" s="515">
        <f>SQRT(SUM(I68:I68))</f>
        <v>0.64031242374328479</v>
      </c>
      <c r="K67" s="512">
        <f>IFERROR(((C67*J67)^2)/($C$57^2),0)</f>
        <v>6.9522502414377054E-8</v>
      </c>
      <c r="L67" s="512"/>
      <c r="M67" s="512"/>
      <c r="N67" s="512"/>
      <c r="O67" s="512"/>
      <c r="P67" s="512"/>
      <c r="T67" t="s">
        <v>43</v>
      </c>
    </row>
    <row r="68" spans="1:26" ht="16.5">
      <c r="A68" s="543" t="s">
        <v>85</v>
      </c>
      <c r="B68" s="516" t="s">
        <v>752</v>
      </c>
      <c r="C68" s="1814">
        <f>RESULTADOS!C23</f>
        <v>3.3828107345084419E-3</v>
      </c>
      <c r="D68" s="528">
        <v>0.4</v>
      </c>
      <c r="E68" s="529">
        <v>0.5</v>
      </c>
      <c r="F68" s="517">
        <f>SQRT(D68^2+E68^2)</f>
        <v>0.6403124237432849</v>
      </c>
      <c r="G68" s="517"/>
      <c r="H68" s="517"/>
      <c r="I68" s="518">
        <f>((C68*F68)^2)/(C67^2)</f>
        <v>0.40999999999999992</v>
      </c>
      <c r="J68" s="519"/>
      <c r="K68" s="519"/>
      <c r="L68" s="519"/>
      <c r="M68" s="519"/>
      <c r="N68" s="519"/>
      <c r="O68" s="518">
        <f>((C68*F68)^2)/($C$5^2)</f>
        <v>3.062328880576299E-14</v>
      </c>
      <c r="P68" s="518"/>
      <c r="R68" s="185" t="s">
        <v>829</v>
      </c>
      <c r="S68" s="185" t="s">
        <v>772</v>
      </c>
      <c r="T68" t="s">
        <v>43</v>
      </c>
    </row>
    <row r="69" spans="1:26" ht="16.5">
      <c r="A69" s="543" t="s">
        <v>85</v>
      </c>
      <c r="B69" s="511" t="s">
        <v>765</v>
      </c>
      <c r="C69" s="1813">
        <f>SUM(C70:C70)</f>
        <v>0.30629006586893964</v>
      </c>
      <c r="D69" s="513"/>
      <c r="E69" s="514"/>
      <c r="F69" s="512"/>
      <c r="G69" s="512"/>
      <c r="H69" s="512"/>
      <c r="I69" s="515"/>
      <c r="J69" s="515">
        <f>SQRT(SUM(I70:I70))</f>
        <v>0.58309518948452999</v>
      </c>
      <c r="K69" s="512">
        <f>IFERROR(((C69*J69)^2)/($C$57^2),0)</f>
        <v>4.7264044068654718E-4</v>
      </c>
      <c r="L69" s="512"/>
      <c r="M69" s="512"/>
      <c r="N69" s="512"/>
      <c r="O69" s="512"/>
      <c r="P69" s="512"/>
      <c r="T69" t="s">
        <v>43</v>
      </c>
    </row>
    <row r="70" spans="1:26" ht="16.5">
      <c r="A70" s="543" t="s">
        <v>85</v>
      </c>
      <c r="B70" s="516" t="s">
        <v>28</v>
      </c>
      <c r="C70" s="1814">
        <f>RESULTADOS!C24</f>
        <v>0.30629006586893964</v>
      </c>
      <c r="D70" s="528">
        <v>0.3</v>
      </c>
      <c r="E70" s="529">
        <v>0.5</v>
      </c>
      <c r="F70" s="517">
        <f>SQRT(D70^2+E70^2)</f>
        <v>0.58309518948452999</v>
      </c>
      <c r="G70" s="517"/>
      <c r="H70" s="517"/>
      <c r="I70" s="518">
        <f>((C70*F70)^2)/(C69^2)</f>
        <v>0.33999999999999991</v>
      </c>
      <c r="J70" s="519"/>
      <c r="K70" s="519"/>
      <c r="L70" s="519"/>
      <c r="M70" s="519"/>
      <c r="N70" s="519"/>
      <c r="O70" s="518">
        <f>((C70*F70)^2)/($C$5^2)</f>
        <v>2.0818877649366772E-10</v>
      </c>
      <c r="P70" s="518"/>
      <c r="R70" s="185" t="s">
        <v>829</v>
      </c>
      <c r="S70" s="185" t="s">
        <v>772</v>
      </c>
      <c r="T70" t="s">
        <v>43</v>
      </c>
    </row>
    <row r="71" spans="1:26" ht="16.5">
      <c r="A71" s="543" t="s">
        <v>85</v>
      </c>
      <c r="B71" s="511" t="s">
        <v>766</v>
      </c>
      <c r="C71" s="1813">
        <f>SUM(C72:C72)</f>
        <v>9.4523960712898147E-2</v>
      </c>
      <c r="D71" s="513"/>
      <c r="E71" s="514"/>
      <c r="F71" s="512"/>
      <c r="G71" s="512"/>
      <c r="H71" s="512"/>
      <c r="I71" s="515"/>
      <c r="J71" s="515">
        <f>SQRT(SUM(I72:I72))</f>
        <v>0.58309518948452987</v>
      </c>
      <c r="K71" s="512">
        <f>IFERROR(((C71*J71)^2)/($C$57^2),0)</f>
        <v>4.5014131789401935E-5</v>
      </c>
      <c r="L71" s="512"/>
      <c r="M71" s="512"/>
      <c r="N71" s="512"/>
      <c r="O71" s="512"/>
      <c r="P71" s="512"/>
      <c r="T71" t="s">
        <v>43</v>
      </c>
    </row>
    <row r="72" spans="1:26" ht="16.5">
      <c r="A72" s="543" t="s">
        <v>85</v>
      </c>
      <c r="B72" s="516" t="s">
        <v>29</v>
      </c>
      <c r="C72" s="1814">
        <f>RESULTADOS!C25</f>
        <v>9.4523960712898147E-2</v>
      </c>
      <c r="D72" s="528">
        <v>0.3</v>
      </c>
      <c r="E72" s="529">
        <v>0.5</v>
      </c>
      <c r="F72" s="517">
        <f>SQRT(D72^2+E72^2)</f>
        <v>0.58309518948452999</v>
      </c>
      <c r="G72" s="517"/>
      <c r="H72" s="517"/>
      <c r="I72" s="518">
        <f>((C72*F72)^2)/(C71^2)</f>
        <v>0.33999999999999986</v>
      </c>
      <c r="J72" s="519"/>
      <c r="K72" s="519"/>
      <c r="L72" s="519"/>
      <c r="M72" s="519"/>
      <c r="N72" s="519"/>
      <c r="O72" s="518">
        <f>((C72*F72)^2)/($C$5^2)</f>
        <v>1.9827835740309402E-11</v>
      </c>
      <c r="P72" s="518"/>
      <c r="R72" s="185" t="s">
        <v>829</v>
      </c>
      <c r="S72" s="185" t="s">
        <v>772</v>
      </c>
      <c r="T72" t="s">
        <v>43</v>
      </c>
    </row>
    <row r="73" spans="1:26" ht="16.5">
      <c r="A73" s="543" t="s">
        <v>85</v>
      </c>
      <c r="B73" s="511" t="s">
        <v>767</v>
      </c>
      <c r="C73" s="1813">
        <f>SUM(C74:C74)</f>
        <v>7.1009401626872783</v>
      </c>
      <c r="D73" s="513"/>
      <c r="E73" s="514"/>
      <c r="F73" s="512"/>
      <c r="G73" s="512"/>
      <c r="H73" s="512"/>
      <c r="I73" s="515"/>
      <c r="J73" s="515">
        <f>SQRT(SUM(I74:I74))</f>
        <v>0.58309518948452999</v>
      </c>
      <c r="K73" s="512">
        <f>IFERROR(((C73*J73)^2)/($C$57^2),0)</f>
        <v>0.25403687523761576</v>
      </c>
      <c r="L73" s="512"/>
      <c r="M73" s="512"/>
      <c r="N73" s="512"/>
      <c r="O73" s="512"/>
      <c r="P73" s="512"/>
      <c r="T73" t="s">
        <v>43</v>
      </c>
    </row>
    <row r="74" spans="1:26" ht="16.5">
      <c r="A74" s="543" t="s">
        <v>85</v>
      </c>
      <c r="B74" s="516" t="s">
        <v>30</v>
      </c>
      <c r="C74" s="1814">
        <f>RESULTADOS!C26</f>
        <v>7.1009401626872783</v>
      </c>
      <c r="D74" s="528">
        <v>0.3</v>
      </c>
      <c r="E74" s="529">
        <v>0.5</v>
      </c>
      <c r="F74" s="517">
        <f>SQRT(D74^2+E74^2)</f>
        <v>0.58309518948452999</v>
      </c>
      <c r="G74" s="517"/>
      <c r="H74" s="517"/>
      <c r="I74" s="518">
        <f>((C74*F74)^2)/(C73^2)</f>
        <v>0.33999999999999991</v>
      </c>
      <c r="J74" s="519"/>
      <c r="K74" s="519"/>
      <c r="L74" s="519"/>
      <c r="M74" s="519"/>
      <c r="N74" s="519"/>
      <c r="O74" s="518">
        <f>((C74*F74)^2)/($C$5^2)</f>
        <v>1.1189822471215186E-7</v>
      </c>
      <c r="P74" s="518"/>
      <c r="R74" s="185" t="s">
        <v>829</v>
      </c>
      <c r="S74" s="185" t="s">
        <v>772</v>
      </c>
      <c r="T74" t="s">
        <v>43</v>
      </c>
    </row>
    <row r="75" spans="1:26" ht="16.5">
      <c r="A75" s="543" t="s">
        <v>85</v>
      </c>
      <c r="B75" s="511" t="s">
        <v>768</v>
      </c>
      <c r="C75" s="1813">
        <f>SUM(C76)</f>
        <v>0.55226446250524119</v>
      </c>
      <c r="D75" s="513"/>
      <c r="E75" s="514"/>
      <c r="F75" s="512"/>
      <c r="G75" s="512"/>
      <c r="H75" s="512"/>
      <c r="I75" s="515"/>
      <c r="J75" s="515">
        <f>SQRT(SUM(I76:I76))</f>
        <v>0.6403124237432849</v>
      </c>
      <c r="K75" s="512">
        <f>IFERROR(((C75*J75)^2)/($C$57^2),0)</f>
        <v>1.8529520947430491E-3</v>
      </c>
      <c r="L75" s="512"/>
      <c r="M75" s="512"/>
      <c r="N75" s="512"/>
      <c r="O75" s="512"/>
      <c r="P75" s="512"/>
      <c r="T75" t="s">
        <v>43</v>
      </c>
    </row>
    <row r="76" spans="1:26" ht="16.5">
      <c r="A76" s="543" t="s">
        <v>85</v>
      </c>
      <c r="B76" s="516" t="s">
        <v>757</v>
      </c>
      <c r="C76" s="1814">
        <f>RESULTADOS!C27</f>
        <v>0.55226446250524119</v>
      </c>
      <c r="D76" s="528">
        <v>0.4</v>
      </c>
      <c r="E76" s="529">
        <v>0.5</v>
      </c>
      <c r="F76" s="517">
        <f>SQRT(D76^2+E76^2)</f>
        <v>0.6403124237432849</v>
      </c>
      <c r="G76" s="517"/>
      <c r="H76" s="517"/>
      <c r="I76" s="518">
        <f>((C76*F76)^2)/(C75^2)</f>
        <v>0.41000000000000003</v>
      </c>
      <c r="J76" s="519"/>
      <c r="K76" s="519"/>
      <c r="L76" s="519"/>
      <c r="M76" s="519"/>
      <c r="N76" s="519"/>
      <c r="O76" s="518">
        <f>((C76*F76)^2)/($C$5^2)</f>
        <v>8.1618879024736437E-10</v>
      </c>
      <c r="P76" s="518"/>
      <c r="R76" s="185" t="s">
        <v>831</v>
      </c>
      <c r="S76" s="185" t="s">
        <v>772</v>
      </c>
      <c r="T76" t="s">
        <v>43</v>
      </c>
    </row>
    <row r="77" spans="1:26" ht="28" customHeight="1">
      <c r="A77" s="543" t="s">
        <v>85</v>
      </c>
      <c r="B77" s="542" t="s">
        <v>1158</v>
      </c>
      <c r="C77" s="531">
        <f>C78+C81+C83+C85+C87+C89+C91+C93+C95</f>
        <v>0.35176601971072446</v>
      </c>
      <c r="D77" s="507"/>
      <c r="E77" s="507"/>
      <c r="F77" s="507"/>
      <c r="G77" s="507"/>
      <c r="H77" s="507"/>
      <c r="I77" s="507"/>
      <c r="J77" s="508"/>
      <c r="K77" s="508"/>
      <c r="L77" s="509">
        <f>SQRT(K78+K83+K85+K87+K89+K91+K93+K95+K81)</f>
        <v>0.30238336880201366</v>
      </c>
      <c r="M77" s="510">
        <f>((C77*L77*RESULTADOS!E58)^2)/($C$5^2)</f>
        <v>5.185944836908028E-6</v>
      </c>
      <c r="N77" s="509"/>
      <c r="O77" s="509"/>
      <c r="P77" s="509"/>
      <c r="U77" s="471" t="s">
        <v>793</v>
      </c>
    </row>
    <row r="78" spans="1:26" ht="16.5">
      <c r="A78" s="543" t="s">
        <v>85</v>
      </c>
      <c r="B78" s="511" t="s">
        <v>782</v>
      </c>
      <c r="C78" s="1813">
        <f>SUM(C79:C80)</f>
        <v>6.7103151072852682E-2</v>
      </c>
      <c r="D78" s="513"/>
      <c r="E78" s="514"/>
      <c r="F78" s="512"/>
      <c r="G78" s="512"/>
      <c r="H78" s="512"/>
      <c r="I78" s="515"/>
      <c r="J78" s="515">
        <f>SQRT(SUM(I79:I80))</f>
        <v>0.44045949881870416</v>
      </c>
      <c r="K78" s="512">
        <f>IFERROR(((C78*J78)^2)/($C$77^2),0)</f>
        <v>7.0597613495564362E-3</v>
      </c>
      <c r="L78" s="512"/>
      <c r="M78" s="512"/>
      <c r="N78" s="512"/>
      <c r="O78" s="512"/>
      <c r="P78" s="512"/>
    </row>
    <row r="79" spans="1:26" ht="16.5">
      <c r="A79" s="543" t="s">
        <v>85</v>
      </c>
      <c r="B79" s="516" t="s">
        <v>783</v>
      </c>
      <c r="C79" s="1814">
        <f>SUM('3B Gestión Estiércol N2O Ind'!AG15:AG17)/1000000</f>
        <v>2.0943888361729154E-2</v>
      </c>
      <c r="D79" s="528">
        <v>0.3</v>
      </c>
      <c r="E79" s="528">
        <f>Z80</f>
        <v>0.5</v>
      </c>
      <c r="F79" s="517">
        <f>SQRT(D79^2+E79^2)</f>
        <v>0.58309518948452999</v>
      </c>
      <c r="G79" s="517"/>
      <c r="H79" s="517"/>
      <c r="I79" s="561">
        <f>((C79*F79)^2)/(C78^2)</f>
        <v>3.3121326095393581E-2</v>
      </c>
      <c r="J79" s="519"/>
      <c r="K79" s="519"/>
      <c r="L79" s="519"/>
      <c r="M79" s="519"/>
      <c r="N79" s="519"/>
      <c r="O79" s="518">
        <f>((C79*F79)^2)/($C$5^2)</f>
        <v>9.7343312087192204E-13</v>
      </c>
      <c r="P79" s="518"/>
      <c r="R79" s="185" t="s">
        <v>829</v>
      </c>
      <c r="S79" s="552" t="s">
        <v>794</v>
      </c>
      <c r="T79" t="s">
        <v>43</v>
      </c>
      <c r="U79" s="544" t="s">
        <v>758</v>
      </c>
      <c r="V79" s="549" t="s">
        <v>777</v>
      </c>
      <c r="W79" s="549" t="s">
        <v>778</v>
      </c>
      <c r="X79" s="549" t="s">
        <v>779</v>
      </c>
      <c r="Y79" s="456" t="s">
        <v>780</v>
      </c>
      <c r="Z79" s="549" t="s">
        <v>781</v>
      </c>
    </row>
    <row r="80" spans="1:26" ht="16.5">
      <c r="A80" s="543" t="s">
        <v>85</v>
      </c>
      <c r="B80" s="516" t="s">
        <v>784</v>
      </c>
      <c r="C80" s="1814">
        <f>SUM('3B Gestión Estiércol N2O Ind'!AG18:AG26)/1000000</f>
        <v>4.6159262711123528E-2</v>
      </c>
      <c r="D80" s="528">
        <v>0.3</v>
      </c>
      <c r="E80" s="528">
        <f>Z81</f>
        <v>0.5</v>
      </c>
      <c r="F80" s="517">
        <f>SQRT(D80^2+E80^2)</f>
        <v>0.58309518948452999</v>
      </c>
      <c r="G80" s="517"/>
      <c r="H80" s="517"/>
      <c r="I80" s="561">
        <f>((C80*F80)^2)/(C78^2)</f>
        <v>0.16088324400423049</v>
      </c>
      <c r="J80" s="519"/>
      <c r="K80" s="519"/>
      <c r="L80" s="519"/>
      <c r="M80" s="519"/>
      <c r="N80" s="519"/>
      <c r="O80" s="518">
        <f>((C80*F80)^2)/($C$5^2)</f>
        <v>4.7283456542767403E-12</v>
      </c>
      <c r="P80" s="518"/>
      <c r="R80" s="185" t="s">
        <v>829</v>
      </c>
      <c r="S80" s="552" t="s">
        <v>794</v>
      </c>
      <c r="T80" t="s">
        <v>43</v>
      </c>
      <c r="U80" s="546" t="s">
        <v>759</v>
      </c>
      <c r="V80" s="409">
        <v>30</v>
      </c>
      <c r="W80" s="409">
        <v>10</v>
      </c>
      <c r="X80" s="409">
        <v>40</v>
      </c>
      <c r="Y80" s="551">
        <f>AVERAGE((V80-W80),(X80-V80))</f>
        <v>15</v>
      </c>
      <c r="Z80" s="550">
        <f>Y80/V80</f>
        <v>0.5</v>
      </c>
    </row>
    <row r="81" spans="1:26" ht="16.5">
      <c r="A81" s="543" t="s">
        <v>85</v>
      </c>
      <c r="B81" s="511" t="s">
        <v>785</v>
      </c>
      <c r="C81" s="1815">
        <f>SUM(C82:C82)</f>
        <v>5.62078341383625E-5</v>
      </c>
      <c r="D81" s="513"/>
      <c r="E81" s="513"/>
      <c r="F81" s="512"/>
      <c r="G81" s="512"/>
      <c r="H81" s="512"/>
      <c r="I81" s="562"/>
      <c r="J81" s="515">
        <f>SQRT(SUM(I82:I82))</f>
        <v>0.6403124237432849</v>
      </c>
      <c r="K81" s="512">
        <f>IFERROR(((C81*J81)^2)/($C$77^2),0)</f>
        <v>1.0468146434413857E-8</v>
      </c>
      <c r="L81" s="512"/>
      <c r="M81" s="512"/>
      <c r="N81" s="512"/>
      <c r="O81" s="512"/>
      <c r="P81" s="512"/>
      <c r="T81" t="s">
        <v>43</v>
      </c>
      <c r="U81" s="546" t="s">
        <v>760</v>
      </c>
      <c r="V81" s="409">
        <v>30</v>
      </c>
      <c r="W81" s="409">
        <v>20</v>
      </c>
      <c r="X81" s="409">
        <v>50</v>
      </c>
      <c r="Y81" s="551">
        <f t="shared" ref="Y81:Y98" si="0">AVERAGE((V81-W81),(X81-V81))</f>
        <v>15</v>
      </c>
      <c r="Z81" s="550">
        <f t="shared" ref="Z81:Z98" si="1">Y81/V81</f>
        <v>0.5</v>
      </c>
    </row>
    <row r="82" spans="1:26" ht="16.5">
      <c r="A82" s="543" t="s">
        <v>85</v>
      </c>
      <c r="B82" s="516" t="s">
        <v>40</v>
      </c>
      <c r="C82" s="1816">
        <f>RESULTADOS!D30</f>
        <v>5.62078341383625E-5</v>
      </c>
      <c r="D82" s="528">
        <v>0.4</v>
      </c>
      <c r="E82" s="528">
        <f t="shared" ref="E82:E94" si="2">Z83</f>
        <v>0.5</v>
      </c>
      <c r="F82" s="517">
        <f>SQRT(D82^2+E82^2)</f>
        <v>0.6403124237432849</v>
      </c>
      <c r="G82" s="517"/>
      <c r="H82" s="517"/>
      <c r="I82" s="563">
        <f>((C82*F82)^2)/(C81^2)</f>
        <v>0.41000000000000009</v>
      </c>
      <c r="J82" s="519"/>
      <c r="K82" s="519"/>
      <c r="L82" s="519"/>
      <c r="M82" s="519"/>
      <c r="N82" s="519"/>
      <c r="O82" s="518">
        <f>((C82*F82)^2)/($C$5^2)</f>
        <v>8.4545428945185516E-18</v>
      </c>
      <c r="P82" s="518"/>
      <c r="R82" s="185" t="s">
        <v>830</v>
      </c>
      <c r="S82" s="552" t="s">
        <v>794</v>
      </c>
      <c r="T82" t="s">
        <v>43</v>
      </c>
      <c r="U82" s="547" t="s">
        <v>761</v>
      </c>
      <c r="V82" s="409"/>
      <c r="W82" s="409"/>
      <c r="X82" s="409"/>
      <c r="Y82" s="551"/>
      <c r="Z82" s="550"/>
    </row>
    <row r="83" spans="1:26" ht="16.5">
      <c r="A83" s="543" t="s">
        <v>85</v>
      </c>
      <c r="B83" s="511" t="s">
        <v>786</v>
      </c>
      <c r="C83" s="1815">
        <f>SUM(C84:C84)</f>
        <v>8.7610040781244906E-4</v>
      </c>
      <c r="D83" s="513"/>
      <c r="E83" s="513"/>
      <c r="F83" s="512"/>
      <c r="G83" s="512"/>
      <c r="H83" s="512"/>
      <c r="I83" s="562"/>
      <c r="J83" s="515">
        <f>SQRT(SUM(I84:I84))</f>
        <v>0</v>
      </c>
      <c r="K83" s="512">
        <f>IFERROR(((C83*J83)^2)/($C$77^2),0)</f>
        <v>0</v>
      </c>
      <c r="L83" s="512"/>
      <c r="M83" s="512"/>
      <c r="N83" s="512"/>
      <c r="O83" s="512"/>
      <c r="P83" s="512"/>
      <c r="T83" t="s">
        <v>43</v>
      </c>
      <c r="U83" s="546" t="s">
        <v>40</v>
      </c>
      <c r="V83" s="409">
        <v>30</v>
      </c>
      <c r="W83" s="409">
        <v>20</v>
      </c>
      <c r="X83" s="409">
        <v>50</v>
      </c>
      <c r="Y83" s="551">
        <f t="shared" si="0"/>
        <v>15</v>
      </c>
      <c r="Z83" s="550">
        <f t="shared" si="1"/>
        <v>0.5</v>
      </c>
    </row>
    <row r="84" spans="1:26" ht="16.5">
      <c r="A84" s="543" t="s">
        <v>85</v>
      </c>
      <c r="B84" s="516" t="s">
        <v>749</v>
      </c>
      <c r="C84" s="1816">
        <f>RESULTADOS!D31</f>
        <v>8.7610040781244906E-4</v>
      </c>
      <c r="D84" s="528">
        <v>0.3</v>
      </c>
      <c r="E84" s="528">
        <f t="shared" si="2"/>
        <v>0.625</v>
      </c>
      <c r="F84" s="517">
        <f>SQRT(D84^2+E84^2)</f>
        <v>0.6932712311931023</v>
      </c>
      <c r="G84" s="517"/>
      <c r="H84" s="517"/>
      <c r="I84" s="563">
        <v>0</v>
      </c>
      <c r="J84" s="519"/>
      <c r="K84" s="519"/>
      <c r="L84" s="519"/>
      <c r="M84" s="519"/>
      <c r="N84" s="519"/>
      <c r="O84" s="518">
        <f>((C84*F84)^2)/($C$5^2)</f>
        <v>2.4078348473890962E-15</v>
      </c>
      <c r="P84" s="518"/>
      <c r="R84" s="185" t="s">
        <v>829</v>
      </c>
      <c r="S84" s="552" t="s">
        <v>794</v>
      </c>
      <c r="T84" t="s">
        <v>43</v>
      </c>
      <c r="U84" s="547" t="s">
        <v>762</v>
      </c>
      <c r="V84" s="409"/>
      <c r="W84" s="409"/>
      <c r="X84" s="409"/>
      <c r="Y84" s="551"/>
      <c r="Z84" s="550"/>
    </row>
    <row r="85" spans="1:26" ht="16.5">
      <c r="A85" s="543" t="s">
        <v>85</v>
      </c>
      <c r="B85" s="511" t="s">
        <v>787</v>
      </c>
      <c r="C85" s="1815">
        <f>SUM(C86:C86)</f>
        <v>3.1407916750382908E-5</v>
      </c>
      <c r="D85" s="513"/>
      <c r="E85" s="513"/>
      <c r="F85" s="512"/>
      <c r="G85" s="512"/>
      <c r="H85" s="512"/>
      <c r="I85" s="562"/>
      <c r="J85" s="515">
        <f>SQRT(SUM(I86:I86))</f>
        <v>0.6932712311931023</v>
      </c>
      <c r="K85" s="512">
        <f>IFERROR(((C85*J85)^2)/($C$77^2),0)</f>
        <v>3.8315707570781593E-9</v>
      </c>
      <c r="L85" s="512"/>
      <c r="M85" s="512"/>
      <c r="N85" s="512"/>
      <c r="O85" s="512"/>
      <c r="P85" s="512"/>
      <c r="T85" t="s">
        <v>43</v>
      </c>
      <c r="U85" s="546" t="s">
        <v>749</v>
      </c>
      <c r="V85" s="409">
        <v>12</v>
      </c>
      <c r="W85" s="409">
        <v>5</v>
      </c>
      <c r="X85" s="409">
        <v>20</v>
      </c>
      <c r="Y85" s="551">
        <f t="shared" si="0"/>
        <v>7.5</v>
      </c>
      <c r="Z85" s="550">
        <f t="shared" si="1"/>
        <v>0.625</v>
      </c>
    </row>
    <row r="86" spans="1:26" ht="16.5">
      <c r="A86" s="543" t="s">
        <v>85</v>
      </c>
      <c r="B86" s="516" t="s">
        <v>27</v>
      </c>
      <c r="C86" s="1816">
        <f>RESULTADOS!D32</f>
        <v>3.1407916750382908E-5</v>
      </c>
      <c r="D86" s="528">
        <v>0.3</v>
      </c>
      <c r="E86" s="528">
        <f t="shared" si="2"/>
        <v>0.625</v>
      </c>
      <c r="F86" s="517">
        <f>SQRT(D86^2+E86^2)</f>
        <v>0.6932712311931023</v>
      </c>
      <c r="G86" s="517"/>
      <c r="H86" s="517"/>
      <c r="I86" s="563">
        <f>((C86*F86)^2)/(C85^2)</f>
        <v>0.48062499999999991</v>
      </c>
      <c r="J86" s="519"/>
      <c r="K86" s="519"/>
      <c r="L86" s="519"/>
      <c r="M86" s="519"/>
      <c r="N86" s="519"/>
      <c r="O86" s="518">
        <f>((C86*F86)^2)/($C$5^2)</f>
        <v>3.0945477809332985E-18</v>
      </c>
      <c r="P86" s="518"/>
      <c r="R86" s="185" t="s">
        <v>829</v>
      </c>
      <c r="S86" s="552" t="s">
        <v>794</v>
      </c>
      <c r="T86" t="s">
        <v>43</v>
      </c>
      <c r="U86" s="547" t="s">
        <v>763</v>
      </c>
      <c r="V86" s="409"/>
      <c r="W86" s="409"/>
      <c r="X86" s="409"/>
      <c r="Y86" s="551"/>
      <c r="Z86" s="550"/>
    </row>
    <row r="87" spans="1:26" ht="16.5">
      <c r="A87" s="543" t="s">
        <v>85</v>
      </c>
      <c r="B87" s="511" t="s">
        <v>788</v>
      </c>
      <c r="C87" s="1815">
        <f>SUM(C88:C88)</f>
        <v>1.1087513301092906E-4</v>
      </c>
      <c r="D87" s="513"/>
      <c r="E87" s="513"/>
      <c r="F87" s="512"/>
      <c r="G87" s="512"/>
      <c r="H87" s="512"/>
      <c r="I87" s="562"/>
      <c r="J87" s="515">
        <f>SQRT(SUM(I88:I88))</f>
        <v>0.6403124237432849</v>
      </c>
      <c r="K87" s="512">
        <f>IFERROR(((C87*J87)^2)/($C$77^2),0)</f>
        <v>4.0732812214443925E-8</v>
      </c>
      <c r="L87" s="512"/>
      <c r="M87" s="512"/>
      <c r="N87" s="512"/>
      <c r="O87" s="512"/>
      <c r="P87" s="512"/>
      <c r="T87" t="s">
        <v>43</v>
      </c>
      <c r="U87" s="546" t="s">
        <v>27</v>
      </c>
      <c r="V87" s="409">
        <v>12</v>
      </c>
      <c r="W87" s="409">
        <v>5</v>
      </c>
      <c r="X87" s="409">
        <v>20</v>
      </c>
      <c r="Y87" s="551">
        <f t="shared" si="0"/>
        <v>7.5</v>
      </c>
      <c r="Z87" s="550">
        <f t="shared" si="1"/>
        <v>0.625</v>
      </c>
    </row>
    <row r="88" spans="1:26" ht="16.5">
      <c r="A88" s="543" t="s">
        <v>85</v>
      </c>
      <c r="B88" s="516" t="s">
        <v>752</v>
      </c>
      <c r="C88" s="1816">
        <f>RESULTADOS!D33</f>
        <v>1.1087513301092906E-4</v>
      </c>
      <c r="D88" s="528">
        <v>0.4</v>
      </c>
      <c r="E88" s="528">
        <f t="shared" si="2"/>
        <v>0.5</v>
      </c>
      <c r="F88" s="517">
        <f>SQRT(D88^2+E88^2)</f>
        <v>0.6403124237432849</v>
      </c>
      <c r="G88" s="517"/>
      <c r="H88" s="517"/>
      <c r="I88" s="563">
        <f>((C88*F88)^2)/(C87^2)</f>
        <v>0.41000000000000009</v>
      </c>
      <c r="J88" s="519"/>
      <c r="K88" s="519"/>
      <c r="L88" s="519"/>
      <c r="M88" s="519"/>
      <c r="N88" s="519"/>
      <c r="O88" s="518">
        <f>((C88*F88)^2)/($C$5^2)</f>
        <v>3.2897639542875587E-17</v>
      </c>
      <c r="P88" s="518"/>
      <c r="R88" s="185" t="s">
        <v>829</v>
      </c>
      <c r="S88" s="552" t="s">
        <v>794</v>
      </c>
      <c r="T88" t="s">
        <v>43</v>
      </c>
      <c r="U88" s="547" t="s">
        <v>764</v>
      </c>
      <c r="V88" s="409"/>
      <c r="W88" s="409"/>
      <c r="X88" s="409"/>
      <c r="Y88" s="551"/>
      <c r="Z88" s="550"/>
    </row>
    <row r="89" spans="1:26" ht="16.5">
      <c r="A89" s="543" t="s">
        <v>85</v>
      </c>
      <c r="B89" s="511" t="s">
        <v>789</v>
      </c>
      <c r="C89" s="1815">
        <f>SUM(C90:C90)</f>
        <v>5.0476701124557068E-3</v>
      </c>
      <c r="D89" s="513"/>
      <c r="E89" s="513"/>
      <c r="F89" s="512"/>
      <c r="G89" s="512"/>
      <c r="H89" s="512"/>
      <c r="I89" s="562"/>
      <c r="J89" s="515">
        <f>SQRT(SUM(I90:I90))</f>
        <v>0.6932712311931023</v>
      </c>
      <c r="K89" s="512">
        <f>IFERROR(((C89*J89)^2)/($C$77^2),0)</f>
        <v>9.8964746371960814E-5</v>
      </c>
      <c r="L89" s="512"/>
      <c r="M89" s="512"/>
      <c r="N89" s="512"/>
      <c r="O89" s="512"/>
      <c r="P89" s="512"/>
      <c r="T89" t="s">
        <v>43</v>
      </c>
      <c r="U89" s="546" t="s">
        <v>752</v>
      </c>
      <c r="V89" s="409">
        <v>30</v>
      </c>
      <c r="W89" s="409">
        <v>20</v>
      </c>
      <c r="X89" s="409">
        <v>50</v>
      </c>
      <c r="Y89" s="551">
        <f t="shared" si="0"/>
        <v>15</v>
      </c>
      <c r="Z89" s="550">
        <f t="shared" si="1"/>
        <v>0.5</v>
      </c>
    </row>
    <row r="90" spans="1:26" ht="16.5">
      <c r="A90" s="543" t="s">
        <v>85</v>
      </c>
      <c r="B90" s="516" t="s">
        <v>28</v>
      </c>
      <c r="C90" s="1816">
        <f>RESULTADOS!D34</f>
        <v>5.0476701124557068E-3</v>
      </c>
      <c r="D90" s="528">
        <v>0.3</v>
      </c>
      <c r="E90" s="528">
        <f t="shared" si="2"/>
        <v>0.625</v>
      </c>
      <c r="F90" s="517">
        <f>SQRT(D90^2+E90^2)</f>
        <v>0.6932712311931023</v>
      </c>
      <c r="G90" s="517"/>
      <c r="H90" s="517"/>
      <c r="I90" s="563">
        <f>((C90*F90)^2)/(C89^2)</f>
        <v>0.48062499999999991</v>
      </c>
      <c r="J90" s="519"/>
      <c r="K90" s="519"/>
      <c r="L90" s="519"/>
      <c r="M90" s="519"/>
      <c r="N90" s="519"/>
      <c r="O90" s="518">
        <f>((C90*F90)^2)/($C$5^2)</f>
        <v>7.9928352023835767E-14</v>
      </c>
      <c r="P90" s="518"/>
      <c r="R90" s="185" t="s">
        <v>829</v>
      </c>
      <c r="S90" s="552" t="s">
        <v>794</v>
      </c>
      <c r="T90" t="s">
        <v>43</v>
      </c>
      <c r="U90" s="547" t="s">
        <v>765</v>
      </c>
      <c r="V90" s="409"/>
      <c r="W90" s="409"/>
      <c r="X90" s="409"/>
      <c r="Y90" s="551"/>
      <c r="Z90" s="550"/>
    </row>
    <row r="91" spans="1:26" ht="16.5">
      <c r="A91" s="543" t="s">
        <v>85</v>
      </c>
      <c r="B91" s="511" t="s">
        <v>790</v>
      </c>
      <c r="C91" s="1815">
        <f>SUM(C92:C92)</f>
        <v>1.5577579052322042E-3</v>
      </c>
      <c r="D91" s="513"/>
      <c r="E91" s="513"/>
      <c r="F91" s="512"/>
      <c r="G91" s="512"/>
      <c r="H91" s="512"/>
      <c r="I91" s="562"/>
      <c r="J91" s="515">
        <f>SQRT(SUM(I92:I92))</f>
        <v>0.6932712311931023</v>
      </c>
      <c r="K91" s="512">
        <f>IFERROR(((C91*J91)^2)/($C$77^2),0)</f>
        <v>9.4253723384761933E-6</v>
      </c>
      <c r="L91" s="512"/>
      <c r="M91" s="512"/>
      <c r="N91" s="512"/>
      <c r="O91" s="512"/>
      <c r="P91" s="512"/>
      <c r="T91" t="s">
        <v>43</v>
      </c>
      <c r="U91" s="546" t="s">
        <v>28</v>
      </c>
      <c r="V91" s="409">
        <v>12</v>
      </c>
      <c r="W91" s="409">
        <v>5</v>
      </c>
      <c r="X91" s="409">
        <v>20</v>
      </c>
      <c r="Y91" s="551">
        <f t="shared" si="0"/>
        <v>7.5</v>
      </c>
      <c r="Z91" s="550">
        <f t="shared" si="1"/>
        <v>0.625</v>
      </c>
    </row>
    <row r="92" spans="1:26" ht="16.5">
      <c r="A92" s="543" t="s">
        <v>85</v>
      </c>
      <c r="B92" s="516" t="s">
        <v>29</v>
      </c>
      <c r="C92" s="1816">
        <f>RESULTADOS!D35</f>
        <v>1.5577579052322042E-3</v>
      </c>
      <c r="D92" s="528">
        <v>0.3</v>
      </c>
      <c r="E92" s="528">
        <f t="shared" si="2"/>
        <v>0.625</v>
      </c>
      <c r="F92" s="517">
        <f>SQRT(D92^2+E92^2)</f>
        <v>0.6932712311931023</v>
      </c>
      <c r="G92" s="517"/>
      <c r="H92" s="517"/>
      <c r="I92" s="563">
        <f>((C92*F92)^2)/(C91^2)</f>
        <v>0.48062499999999991</v>
      </c>
      <c r="J92" s="519"/>
      <c r="K92" s="519"/>
      <c r="L92" s="519"/>
      <c r="M92" s="519"/>
      <c r="N92" s="519"/>
      <c r="O92" s="518">
        <f>((C92*F92)^2)/($C$5^2)</f>
        <v>7.6123519318076428E-15</v>
      </c>
      <c r="P92" s="518"/>
      <c r="R92" s="185" t="s">
        <v>829</v>
      </c>
      <c r="S92" s="552" t="s">
        <v>794</v>
      </c>
      <c r="T92" t="s">
        <v>43</v>
      </c>
      <c r="U92" s="547" t="s">
        <v>766</v>
      </c>
      <c r="V92" s="409"/>
      <c r="W92" s="409"/>
      <c r="X92" s="409"/>
      <c r="Y92" s="551"/>
      <c r="Z92" s="550"/>
    </row>
    <row r="93" spans="1:26" ht="16.5">
      <c r="A93" s="543" t="s">
        <v>85</v>
      </c>
      <c r="B93" s="511" t="s">
        <v>791</v>
      </c>
      <c r="C93" s="1815">
        <f>SUM(C94:C94)</f>
        <v>0.13807015249044829</v>
      </c>
      <c r="D93" s="513"/>
      <c r="E93" s="513"/>
      <c r="F93" s="512"/>
      <c r="G93" s="512"/>
      <c r="H93" s="512"/>
      <c r="I93" s="562"/>
      <c r="J93" s="515">
        <f>SQRT(SUM(I94:I94))</f>
        <v>0.55653082798709363</v>
      </c>
      <c r="K93" s="512">
        <f>IFERROR(((C93*J93)^2)/($C$77^2),0)</f>
        <v>4.7716688041908137E-2</v>
      </c>
      <c r="L93" s="512"/>
      <c r="M93" s="512"/>
      <c r="N93" s="512"/>
      <c r="O93" s="512"/>
      <c r="P93" s="512"/>
      <c r="T93" t="s">
        <v>43</v>
      </c>
      <c r="U93" s="546" t="s">
        <v>29</v>
      </c>
      <c r="V93" s="409">
        <v>12</v>
      </c>
      <c r="W93" s="409">
        <v>5</v>
      </c>
      <c r="X93" s="409">
        <v>20</v>
      </c>
      <c r="Y93" s="551">
        <f t="shared" si="0"/>
        <v>7.5</v>
      </c>
      <c r="Z93" s="550">
        <f t="shared" si="1"/>
        <v>0.625</v>
      </c>
    </row>
    <row r="94" spans="1:26" ht="16.5">
      <c r="A94" s="543" t="s">
        <v>85</v>
      </c>
      <c r="B94" s="516" t="s">
        <v>30</v>
      </c>
      <c r="C94" s="1816">
        <f>RESULTADOS!D36</f>
        <v>0.13807015249044829</v>
      </c>
      <c r="D94" s="528">
        <v>0.3</v>
      </c>
      <c r="E94" s="528">
        <f t="shared" si="2"/>
        <v>0.46875</v>
      </c>
      <c r="F94" s="517">
        <f>SQRT(D94^2+E94^2)</f>
        <v>0.55653082798709363</v>
      </c>
      <c r="G94" s="517"/>
      <c r="H94" s="517"/>
      <c r="I94" s="563">
        <f>((C94*F94)^2)/(C93^2)</f>
        <v>0.30972656250000002</v>
      </c>
      <c r="J94" s="519"/>
      <c r="K94" s="519"/>
      <c r="L94" s="519"/>
      <c r="M94" s="519"/>
      <c r="N94" s="519"/>
      <c r="O94" s="518">
        <f>((C94*F94)^2)/($C$5^2)</f>
        <v>3.8538129778967088E-11</v>
      </c>
      <c r="P94" s="518"/>
      <c r="R94" s="185" t="s">
        <v>829</v>
      </c>
      <c r="S94" s="552" t="s">
        <v>794</v>
      </c>
      <c r="T94" t="s">
        <v>43</v>
      </c>
      <c r="U94" s="547" t="s">
        <v>767</v>
      </c>
      <c r="V94" s="409"/>
      <c r="W94" s="409"/>
      <c r="X94" s="409"/>
      <c r="Y94" s="551"/>
      <c r="Z94" s="550"/>
    </row>
    <row r="95" spans="1:26" ht="16.5">
      <c r="A95" s="543" t="s">
        <v>85</v>
      </c>
      <c r="B95" s="511" t="s">
        <v>792</v>
      </c>
      <c r="C95" s="1815">
        <f>SUM(C96:C96)</f>
        <v>0.13891269683802346</v>
      </c>
      <c r="D95" s="513"/>
      <c r="E95" s="513"/>
      <c r="F95" s="512"/>
      <c r="G95" s="512"/>
      <c r="H95" s="512"/>
      <c r="I95" s="562"/>
      <c r="J95" s="515">
        <f>SQRT(SUM(I96:I96))</f>
        <v>0.48412825293433986</v>
      </c>
      <c r="K95" s="512">
        <f>IFERROR(((C95*J95)^2)/($C$77^2),0)</f>
        <v>3.6550807185350177E-2</v>
      </c>
      <c r="L95" s="512"/>
      <c r="M95" s="512"/>
      <c r="N95" s="512"/>
      <c r="O95" s="512"/>
      <c r="P95" s="512"/>
      <c r="T95" t="s">
        <v>43</v>
      </c>
      <c r="U95" s="546" t="s">
        <v>30</v>
      </c>
      <c r="V95" s="409">
        <v>48</v>
      </c>
      <c r="W95" s="409">
        <v>15</v>
      </c>
      <c r="X95" s="409">
        <v>60</v>
      </c>
      <c r="Y95" s="551">
        <f t="shared" si="0"/>
        <v>22.5</v>
      </c>
      <c r="Z95" s="550">
        <f t="shared" si="1"/>
        <v>0.46875</v>
      </c>
    </row>
    <row r="96" spans="1:26" ht="16.5">
      <c r="A96" s="543" t="s">
        <v>85</v>
      </c>
      <c r="B96" s="516" t="s">
        <v>757</v>
      </c>
      <c r="C96" s="1816">
        <f>RESULTADOS!D37</f>
        <v>0.13891269683802346</v>
      </c>
      <c r="D96" s="528">
        <v>0.4</v>
      </c>
      <c r="E96" s="528">
        <f>Z98</f>
        <v>0.27272727272727271</v>
      </c>
      <c r="F96" s="517">
        <f>SQRT(D96^2+E96^2)</f>
        <v>0.48412825293433992</v>
      </c>
      <c r="G96" s="517"/>
      <c r="H96" s="517"/>
      <c r="I96" s="563">
        <f>((C96*F96)^2)/(C95^2)</f>
        <v>0.23438016528925615</v>
      </c>
      <c r="J96" s="519"/>
      <c r="K96" s="519"/>
      <c r="L96" s="519"/>
      <c r="M96" s="519"/>
      <c r="N96" s="519"/>
      <c r="O96" s="518">
        <f>((C96*F96)^2)/($C$5^2)</f>
        <v>2.9520065382532354E-11</v>
      </c>
      <c r="P96" s="518"/>
      <c r="R96" s="185" t="s">
        <v>831</v>
      </c>
      <c r="S96" s="552" t="s">
        <v>794</v>
      </c>
      <c r="T96" t="s">
        <v>43</v>
      </c>
      <c r="U96" s="547" t="s">
        <v>768</v>
      </c>
      <c r="V96" s="409"/>
      <c r="W96" s="409"/>
      <c r="X96" s="409"/>
      <c r="Y96" s="551"/>
      <c r="Z96" s="550"/>
    </row>
    <row r="97" spans="1:26" ht="17" thickBot="1">
      <c r="A97" s="543"/>
      <c r="B97" s="516"/>
      <c r="C97" s="553"/>
      <c r="D97" s="554"/>
      <c r="E97" s="555"/>
      <c r="F97" s="517"/>
      <c r="G97" s="517"/>
      <c r="H97" s="517"/>
      <c r="I97" s="518"/>
      <c r="J97" s="519"/>
      <c r="K97" s="519"/>
      <c r="L97" s="523"/>
      <c r="M97" s="519"/>
      <c r="N97" s="519"/>
      <c r="O97" s="518"/>
      <c r="P97" s="518"/>
      <c r="V97" s="409"/>
      <c r="W97" s="409"/>
      <c r="X97" s="409"/>
      <c r="Y97" s="551"/>
      <c r="Z97" s="550"/>
    </row>
    <row r="98" spans="1:26" ht="16.5">
      <c r="A98" s="543" t="s">
        <v>85</v>
      </c>
      <c r="B98" s="566" t="s">
        <v>825</v>
      </c>
      <c r="C98" s="567">
        <f>C99</f>
        <v>2566.8744121883169</v>
      </c>
      <c r="D98" s="568"/>
      <c r="E98" s="568"/>
      <c r="F98" s="568"/>
      <c r="G98" s="568"/>
      <c r="H98" s="568"/>
      <c r="I98" s="568"/>
      <c r="J98" s="569"/>
      <c r="K98" s="569"/>
      <c r="L98" s="570">
        <f>K102+K104+K106+K108+K110+K112+K115+K117</f>
        <v>0.13087750111253535</v>
      </c>
      <c r="M98" s="1817">
        <f>((C98*L98)^2)/($C$5^2)</f>
        <v>7.3663407323050012E-4</v>
      </c>
      <c r="N98" s="570"/>
      <c r="O98" s="570"/>
      <c r="P98" s="570"/>
      <c r="U98" s="548"/>
      <c r="V98" s="409">
        <v>55</v>
      </c>
      <c r="W98" s="409">
        <v>40</v>
      </c>
      <c r="X98" s="409">
        <v>70</v>
      </c>
      <c r="Y98" s="551">
        <f t="shared" si="0"/>
        <v>15</v>
      </c>
      <c r="Z98" s="550">
        <f t="shared" si="1"/>
        <v>0.27272727272727271</v>
      </c>
    </row>
    <row r="99" spans="1:26" ht="16.5">
      <c r="A99" s="543" t="s">
        <v>85</v>
      </c>
      <c r="B99" s="511"/>
      <c r="C99" s="520">
        <f>SUM(C100:C100)</f>
        <v>2566.8744121883169</v>
      </c>
      <c r="D99" s="513"/>
      <c r="E99" s="514"/>
      <c r="F99" s="512"/>
      <c r="G99" s="512"/>
      <c r="H99" s="512"/>
      <c r="I99" s="515"/>
      <c r="J99" s="515">
        <f>SQRT(SUM(I100))</f>
        <v>0.53851648071345048</v>
      </c>
      <c r="K99" s="512">
        <f>IFERROR(((C99*J99)^2)/(C98^2),0)</f>
        <v>0.29000000000000015</v>
      </c>
      <c r="L99" s="513"/>
      <c r="M99" s="512"/>
      <c r="N99" s="512"/>
      <c r="O99" s="512"/>
      <c r="P99" s="512"/>
    </row>
    <row r="100" spans="1:26" ht="16.5">
      <c r="A100" s="543" t="s">
        <v>85</v>
      </c>
      <c r="B100" s="516" t="s">
        <v>46</v>
      </c>
      <c r="C100" s="506">
        <f>C101+C114+C119+C122</f>
        <v>2566.8744121883169</v>
      </c>
      <c r="D100" s="534">
        <v>0.2</v>
      </c>
      <c r="E100" s="535">
        <v>0.5</v>
      </c>
      <c r="F100" s="517">
        <f>SQRT(D100^2+E100^2)</f>
        <v>0.53851648071345048</v>
      </c>
      <c r="G100" s="517"/>
      <c r="H100" s="517"/>
      <c r="I100" s="518">
        <f>((C100*F100)^2)/(C99^2)</f>
        <v>0.29000000000000015</v>
      </c>
      <c r="J100" s="519"/>
      <c r="K100" s="519"/>
      <c r="L100" s="523"/>
      <c r="M100" s="519"/>
      <c r="N100" s="519"/>
      <c r="O100" s="518"/>
      <c r="P100" s="518"/>
    </row>
    <row r="101" spans="1:26" ht="33">
      <c r="A101" s="543" t="s">
        <v>85</v>
      </c>
      <c r="B101" s="530" t="s">
        <v>804</v>
      </c>
      <c r="C101" s="531">
        <f>C102+C104+C106+C108+C110+C112</f>
        <v>1569.6996988065753</v>
      </c>
      <c r="D101" s="565"/>
      <c r="E101" s="506"/>
      <c r="F101" s="507"/>
      <c r="G101" s="507"/>
      <c r="H101" s="507"/>
      <c r="I101" s="507"/>
      <c r="J101" s="508"/>
      <c r="K101" s="508"/>
      <c r="L101" s="509">
        <f>SQRT(K102+K104+K106+K108+K122+K110+K112)</f>
        <v>0.22827849756216739</v>
      </c>
      <c r="M101" s="510">
        <f>((C101*L101)^2)/($C$5^2)</f>
        <v>8.3806119973816055E-4</v>
      </c>
      <c r="N101" s="508"/>
      <c r="O101" s="507"/>
      <c r="P101" s="507"/>
      <c r="U101" s="471" t="s">
        <v>813</v>
      </c>
      <c r="V101" s="456" t="s">
        <v>457</v>
      </c>
      <c r="W101" s="549" t="s">
        <v>778</v>
      </c>
      <c r="X101" s="549" t="s">
        <v>779</v>
      </c>
      <c r="Y101" s="456" t="s">
        <v>812</v>
      </c>
    </row>
    <row r="102" spans="1:26" ht="16.5">
      <c r="A102" s="543" t="s">
        <v>85</v>
      </c>
      <c r="B102" s="544" t="s">
        <v>805</v>
      </c>
      <c r="C102" s="520">
        <f>SUM(C103:C103)</f>
        <v>795.11499398332921</v>
      </c>
      <c r="D102" s="513"/>
      <c r="E102" s="514"/>
      <c r="F102" s="512"/>
      <c r="G102" s="512"/>
      <c r="H102" s="512"/>
      <c r="I102" s="515"/>
      <c r="J102" s="515">
        <f>SQRT(SUM(I103))</f>
        <v>0.38873012632302012</v>
      </c>
      <c r="K102" s="512">
        <f>IFERROR(((C102*J102)^2)/($C$101^2),0)</f>
        <v>3.8772440273616447E-2</v>
      </c>
      <c r="L102" s="512"/>
      <c r="M102" s="512"/>
      <c r="N102" s="512"/>
      <c r="O102" s="512"/>
      <c r="P102" s="512"/>
      <c r="U102" s="544" t="s">
        <v>799</v>
      </c>
      <c r="V102" s="185"/>
      <c r="W102" s="185"/>
      <c r="X102" s="185"/>
      <c r="Y102" s="185"/>
    </row>
    <row r="103" spans="1:26" ht="17.5" customHeight="1">
      <c r="A103" s="543" t="s">
        <v>85</v>
      </c>
      <c r="B103" s="545" t="s">
        <v>805</v>
      </c>
      <c r="C103" s="527">
        <f>('3C4 Suelos Agricolas N2O Direct'!I14+'3C4 Suelos Agricolas N2O Direct'!I18)*10^-6*(44/28)*RESULTADOS!E58</f>
        <v>795.11499398332921</v>
      </c>
      <c r="D103" s="528">
        <v>0.2</v>
      </c>
      <c r="E103" s="529">
        <f>Y103</f>
        <v>0.33333333333333337</v>
      </c>
      <c r="F103" s="517">
        <f>SQRT(D103^2+E103^2)</f>
        <v>0.38873012632302006</v>
      </c>
      <c r="G103" s="517"/>
      <c r="H103" s="517"/>
      <c r="I103" s="563">
        <f>((C103*F103)^2)/(C102^2)</f>
        <v>0.15111111111111117</v>
      </c>
      <c r="J103" s="519"/>
      <c r="K103" s="519"/>
      <c r="L103" s="519"/>
      <c r="M103" s="519"/>
      <c r="N103" s="519"/>
      <c r="O103" s="518">
        <f>((C103*F103)^2)/($C$5^2)</f>
        <v>6.2354651871987684E-4</v>
      </c>
      <c r="P103" s="518"/>
      <c r="R103" s="185" t="s">
        <v>795</v>
      </c>
      <c r="S103" s="552" t="s">
        <v>814</v>
      </c>
      <c r="T103" t="s">
        <v>43</v>
      </c>
      <c r="U103" s="545" t="s">
        <v>799</v>
      </c>
      <c r="V103" s="558">
        <v>0.01</v>
      </c>
      <c r="W103" s="185">
        <v>3.0000000000000001E-3</v>
      </c>
      <c r="X103" s="185">
        <v>0.03</v>
      </c>
      <c r="Y103" s="550">
        <f>V103/X103</f>
        <v>0.33333333333333337</v>
      </c>
    </row>
    <row r="104" spans="1:26" ht="16.5">
      <c r="A104" s="543" t="s">
        <v>85</v>
      </c>
      <c r="B104" s="556" t="s">
        <v>806</v>
      </c>
      <c r="C104" s="520">
        <f>SUM(C105:C105)</f>
        <v>132.33896300747745</v>
      </c>
      <c r="D104" s="513"/>
      <c r="E104" s="514"/>
      <c r="F104" s="512"/>
      <c r="G104" s="512"/>
      <c r="H104" s="512"/>
      <c r="I104" s="515"/>
      <c r="J104" s="515">
        <f>SQRT(SUM(I105:I105))</f>
        <v>0.34801021696368506</v>
      </c>
      <c r="K104" s="512">
        <f>IFERROR(((C104*J104)^2)/($C$101^2),0)</f>
        <v>8.6084763981803881E-4</v>
      </c>
      <c r="L104" s="512"/>
      <c r="M104" s="512"/>
      <c r="N104" s="512"/>
      <c r="O104" s="512"/>
      <c r="P104" s="512"/>
      <c r="T104" t="s">
        <v>43</v>
      </c>
      <c r="U104" s="556" t="s">
        <v>800</v>
      </c>
      <c r="V104" s="185"/>
      <c r="W104" s="185"/>
      <c r="X104" s="185"/>
      <c r="Y104" s="456"/>
    </row>
    <row r="105" spans="1:26" ht="16.5">
      <c r="A105" s="543" t="s">
        <v>85</v>
      </c>
      <c r="B105" s="557" t="s">
        <v>806</v>
      </c>
      <c r="C105" s="527">
        <f>('3C4 Suelos Agricolas N2O Direct'!I15+'3C4 Suelos Agricolas N2O Direct'!I19)*10^-6*(44/28)*RESULTADOS!E58</f>
        <v>132.33896300747745</v>
      </c>
      <c r="D105" s="528">
        <v>0.1</v>
      </c>
      <c r="E105" s="529">
        <f>Y105</f>
        <v>0.33333333333333337</v>
      </c>
      <c r="F105" s="517">
        <f>SQRT(D105^2+E105^2)</f>
        <v>0.34801021696368506</v>
      </c>
      <c r="G105" s="517"/>
      <c r="H105" s="517"/>
      <c r="I105" s="563">
        <f>((C105*F105)^2)/(C104^2)</f>
        <v>0.12111111111111116</v>
      </c>
      <c r="J105" s="519"/>
      <c r="K105" s="519"/>
      <c r="L105" s="519"/>
      <c r="M105" s="519"/>
      <c r="N105" s="519"/>
      <c r="O105" s="518">
        <f>((C105*F105)^2)/($C$5^2)</f>
        <v>1.3844332344539665E-5</v>
      </c>
      <c r="P105" s="518"/>
      <c r="R105" s="185" t="s">
        <v>796</v>
      </c>
      <c r="S105" s="552" t="s">
        <v>814</v>
      </c>
      <c r="T105" t="s">
        <v>43</v>
      </c>
      <c r="U105" s="557" t="s">
        <v>800</v>
      </c>
      <c r="V105" s="558">
        <v>0.02</v>
      </c>
      <c r="W105" s="185">
        <v>7.0000000000000001E-3</v>
      </c>
      <c r="X105" s="185">
        <v>0.06</v>
      </c>
      <c r="Y105" s="550">
        <f>V105/X105</f>
        <v>0.33333333333333337</v>
      </c>
    </row>
    <row r="106" spans="1:26" ht="16.5">
      <c r="A106" s="543" t="s">
        <v>85</v>
      </c>
      <c r="B106" s="544" t="s">
        <v>807</v>
      </c>
      <c r="C106" s="533">
        <f>SUM(C107:C107)</f>
        <v>401.10512625950338</v>
      </c>
      <c r="D106" s="513"/>
      <c r="E106" s="514"/>
      <c r="F106" s="512"/>
      <c r="G106" s="512"/>
      <c r="H106" s="512"/>
      <c r="I106" s="515"/>
      <c r="J106" s="515">
        <f>SQRT(SUM(I107:I107))</f>
        <v>0.38873012632302001</v>
      </c>
      <c r="K106" s="512">
        <f>IFERROR(((C106*J106)^2)/($C$101^2),0)</f>
        <v>9.8668760822027361E-3</v>
      </c>
      <c r="L106" s="512"/>
      <c r="M106" s="512"/>
      <c r="N106" s="512"/>
      <c r="O106" s="512"/>
      <c r="P106" s="512"/>
      <c r="T106" t="s">
        <v>43</v>
      </c>
      <c r="U106" s="544" t="s">
        <v>526</v>
      </c>
      <c r="V106" s="185"/>
      <c r="W106" s="185"/>
      <c r="X106" s="185"/>
      <c r="Y106" s="456"/>
    </row>
    <row r="107" spans="1:26" ht="16.5">
      <c r="A107" s="543" t="s">
        <v>85</v>
      </c>
      <c r="B107" s="545" t="s">
        <v>807</v>
      </c>
      <c r="C107" s="532">
        <f>('3C4 Suelos Agricolas N2O Direct'!I16+'3C4 Suelos Agricolas N2O Direct'!I20)*10^-6*(44/28)*RESULTADOS!E58</f>
        <v>401.10512625950338</v>
      </c>
      <c r="D107" s="528">
        <v>0.2</v>
      </c>
      <c r="E107" s="529">
        <f>Y107</f>
        <v>0.33333333333333337</v>
      </c>
      <c r="F107" s="517">
        <f>SQRT(D107^2+E107^2)</f>
        <v>0.38873012632302006</v>
      </c>
      <c r="G107" s="517"/>
      <c r="H107" s="517"/>
      <c r="I107" s="563">
        <f>((C107*F107)^2)/(C106^2)</f>
        <v>0.15111111111111111</v>
      </c>
      <c r="J107" s="519"/>
      <c r="K107" s="519"/>
      <c r="L107" s="519"/>
      <c r="M107" s="519"/>
      <c r="N107" s="519"/>
      <c r="O107" s="518">
        <f>((C107*F107)^2)/($C$5^2)</f>
        <v>1.5868117116900961E-4</v>
      </c>
      <c r="P107" s="518"/>
      <c r="R107" s="185" t="s">
        <v>797</v>
      </c>
      <c r="S107" s="552" t="s">
        <v>814</v>
      </c>
      <c r="T107" t="s">
        <v>43</v>
      </c>
      <c r="U107" s="545" t="s">
        <v>526</v>
      </c>
      <c r="V107" s="558">
        <v>0.01</v>
      </c>
      <c r="W107" s="185">
        <v>3.0000000000000001E-3</v>
      </c>
      <c r="X107" s="185">
        <v>0.03</v>
      </c>
      <c r="Y107" s="550">
        <f>V107/X107</f>
        <v>0.33333333333333337</v>
      </c>
    </row>
    <row r="108" spans="1:26" ht="16.5">
      <c r="A108" s="543" t="s">
        <v>85</v>
      </c>
      <c r="B108" s="544" t="s">
        <v>808</v>
      </c>
      <c r="C108" s="520">
        <f>SUM(C109:C109)</f>
        <v>0</v>
      </c>
      <c r="D108" s="513"/>
      <c r="E108" s="514"/>
      <c r="F108" s="512"/>
      <c r="G108" s="512"/>
      <c r="H108" s="512"/>
      <c r="I108" s="515"/>
      <c r="J108" s="515">
        <f>SQRT(SUM(I109:I109))</f>
        <v>0</v>
      </c>
      <c r="K108" s="512">
        <f>IFERROR(((C108*J108)^2)/($C$101^2),0)</f>
        <v>0</v>
      </c>
      <c r="L108" s="512"/>
      <c r="M108" s="512"/>
      <c r="N108" s="512"/>
      <c r="O108" s="512"/>
      <c r="P108" s="512"/>
      <c r="T108" t="s">
        <v>43</v>
      </c>
      <c r="U108" s="544" t="s">
        <v>801</v>
      </c>
      <c r="V108" s="185"/>
      <c r="W108" s="185"/>
      <c r="X108" s="185"/>
      <c r="Y108" s="456"/>
    </row>
    <row r="109" spans="1:26" ht="16.5">
      <c r="A109" s="543" t="s">
        <v>85</v>
      </c>
      <c r="B109" s="545" t="s">
        <v>808</v>
      </c>
      <c r="C109" s="532">
        <f>'3C4 Suelos Agricolas N2O Direct'!I17</f>
        <v>0</v>
      </c>
      <c r="D109" s="528"/>
      <c r="E109" s="529"/>
      <c r="F109" s="517">
        <f>SQRT(D109^2+E109^2)</f>
        <v>0</v>
      </c>
      <c r="G109" s="517"/>
      <c r="H109" s="517"/>
      <c r="I109" s="563">
        <v>0</v>
      </c>
      <c r="J109" s="519"/>
      <c r="K109" s="519"/>
      <c r="L109" s="519"/>
      <c r="M109" s="519"/>
      <c r="N109" s="519"/>
      <c r="O109" s="518">
        <f>((C109*F109)^2)/($C$5^2)</f>
        <v>0</v>
      </c>
      <c r="P109" s="518"/>
      <c r="T109" t="s">
        <v>43</v>
      </c>
      <c r="U109" s="545" t="s">
        <v>801</v>
      </c>
      <c r="V109" s="558"/>
      <c r="W109" s="185"/>
      <c r="X109" s="185"/>
      <c r="Y109" s="550"/>
    </row>
    <row r="110" spans="1:26" ht="16.5">
      <c r="A110" s="543" t="s">
        <v>85</v>
      </c>
      <c r="B110" s="544" t="s">
        <v>809</v>
      </c>
      <c r="C110" s="520">
        <f>SUM(C111:C111)</f>
        <v>10.994886282285714</v>
      </c>
      <c r="D110" s="513"/>
      <c r="E110" s="514"/>
      <c r="F110" s="512"/>
      <c r="G110" s="512"/>
      <c r="H110" s="512"/>
      <c r="I110" s="515"/>
      <c r="J110" s="515">
        <f>SQRT(SUM(I111:I111))</f>
        <v>0.38873012632302001</v>
      </c>
      <c r="K110" s="512">
        <f>IFERROR(((C110*J110)^2)/($C$101^2),0)</f>
        <v>7.4138660109573603E-6</v>
      </c>
      <c r="L110" s="512"/>
      <c r="M110" s="512"/>
      <c r="N110" s="512"/>
      <c r="O110" s="512"/>
      <c r="P110" s="512"/>
      <c r="T110" t="s">
        <v>43</v>
      </c>
      <c r="U110" s="544" t="s">
        <v>802</v>
      </c>
      <c r="V110" s="185"/>
      <c r="W110" s="185"/>
      <c r="X110" s="185"/>
      <c r="Y110" s="456"/>
    </row>
    <row r="111" spans="1:26" ht="16.5">
      <c r="A111" s="543" t="s">
        <v>85</v>
      </c>
      <c r="B111" s="545" t="s">
        <v>809</v>
      </c>
      <c r="C111" s="527">
        <f>'3C4 Suelos Agricolas N2O Direct'!P21*10^-6*(44/28)*RESULTADOS!E58</f>
        <v>10.994886282285714</v>
      </c>
      <c r="D111" s="528">
        <v>0.2</v>
      </c>
      <c r="E111" s="529">
        <f>Y111</f>
        <v>0.33333333333333331</v>
      </c>
      <c r="F111" s="517">
        <f>SQRT(D111^2+E111^2)</f>
        <v>0.38873012632302001</v>
      </c>
      <c r="G111" s="517"/>
      <c r="H111" s="517"/>
      <c r="I111" s="563">
        <f>((C111*F111)^2)/(C110^2)</f>
        <v>0.15111111111111111</v>
      </c>
      <c r="J111" s="519"/>
      <c r="K111" s="519"/>
      <c r="L111" s="519"/>
      <c r="M111" s="519"/>
      <c r="N111" s="519"/>
      <c r="O111" s="518">
        <f>((C111*F111)^2)/($C$5^2)</f>
        <v>1.1923134857554553E-7</v>
      </c>
      <c r="P111" s="518"/>
      <c r="R111" s="185" t="s">
        <v>798</v>
      </c>
      <c r="S111" s="552" t="s">
        <v>814</v>
      </c>
      <c r="T111" t="s">
        <v>43</v>
      </c>
      <c r="U111" s="545" t="s">
        <v>802</v>
      </c>
      <c r="V111" s="558">
        <v>8</v>
      </c>
      <c r="W111" s="185">
        <v>2</v>
      </c>
      <c r="X111" s="185">
        <v>24</v>
      </c>
      <c r="Y111" s="550">
        <f>V111/X111</f>
        <v>0.33333333333333331</v>
      </c>
    </row>
    <row r="112" spans="1:26" ht="16.5">
      <c r="A112" s="543" t="s">
        <v>85</v>
      </c>
      <c r="B112" s="544" t="s">
        <v>810</v>
      </c>
      <c r="C112" s="520">
        <f>SUM(C113:C113)</f>
        <v>230.14572927397947</v>
      </c>
      <c r="D112" s="513"/>
      <c r="E112" s="514"/>
      <c r="F112" s="512"/>
      <c r="G112" s="512"/>
      <c r="H112" s="512"/>
      <c r="I112" s="515"/>
      <c r="J112" s="515">
        <f>SQRT(SUM(I113:I113))</f>
        <v>0.348010216963685</v>
      </c>
      <c r="K112" s="512">
        <f>IFERROR(((C112*J112)^2)/($C$101^2),0)</f>
        <v>2.6034945875922835E-3</v>
      </c>
      <c r="L112" s="512"/>
      <c r="M112" s="512"/>
      <c r="N112" s="512"/>
      <c r="O112" s="512"/>
      <c r="P112" s="512"/>
      <c r="T112" t="s">
        <v>43</v>
      </c>
      <c r="U112" s="544" t="s">
        <v>803</v>
      </c>
      <c r="V112" s="185"/>
      <c r="W112" s="185"/>
      <c r="X112" s="185"/>
      <c r="Y112" s="456"/>
    </row>
    <row r="113" spans="1:25" ht="16.5">
      <c r="A113" s="543" t="s">
        <v>85</v>
      </c>
      <c r="B113" s="545" t="s">
        <v>810</v>
      </c>
      <c r="C113" s="527">
        <f>'3C4 Suelos Agricolas N2O Direct'!S21*10^-6*(44/28)*RESULTADOS!E58</f>
        <v>230.14572927397947</v>
      </c>
      <c r="D113" s="528">
        <v>0.1</v>
      </c>
      <c r="E113" s="529">
        <f>Y113</f>
        <v>0.33333333333333337</v>
      </c>
      <c r="F113" s="517">
        <f>SQRT(D113^2+E113^2)</f>
        <v>0.34801021696368506</v>
      </c>
      <c r="G113" s="517"/>
      <c r="H113" s="517"/>
      <c r="I113" s="563">
        <f>((C113*F113)^2)/(C112^2)</f>
        <v>0.12111111111111113</v>
      </c>
      <c r="J113" s="519"/>
      <c r="K113" s="519"/>
      <c r="L113" s="519"/>
      <c r="M113" s="519"/>
      <c r="N113" s="519"/>
      <c r="O113" s="518">
        <f>((C113*F113)^2)/($C$5^2)</f>
        <v>4.1869946156158977E-5</v>
      </c>
      <c r="P113" s="518"/>
      <c r="R113" s="185" t="s">
        <v>811</v>
      </c>
      <c r="S113" s="552" t="s">
        <v>814</v>
      </c>
      <c r="T113" t="s">
        <v>43</v>
      </c>
      <c r="U113" s="545" t="s">
        <v>803</v>
      </c>
      <c r="V113" s="185">
        <v>0.02</v>
      </c>
      <c r="W113" s="185">
        <v>7.0000000000000001E-3</v>
      </c>
      <c r="X113" s="185">
        <v>0.06</v>
      </c>
      <c r="Y113" s="550">
        <f>V113/X113</f>
        <v>0.33333333333333337</v>
      </c>
    </row>
    <row r="114" spans="1:25" ht="33">
      <c r="A114" s="543" t="s">
        <v>85</v>
      </c>
      <c r="B114" s="530" t="s">
        <v>816</v>
      </c>
      <c r="C114" s="531">
        <f>C115+C117</f>
        <v>766.90705261677977</v>
      </c>
      <c r="D114" s="507"/>
      <c r="E114" s="507"/>
      <c r="F114" s="507"/>
      <c r="G114" s="507"/>
      <c r="H114" s="507"/>
      <c r="I114" s="507"/>
      <c r="J114" s="508"/>
      <c r="K114" s="508"/>
      <c r="L114" s="509">
        <f>SQRT(K115+K117)</f>
        <v>0.28065357411459219</v>
      </c>
      <c r="M114" s="510">
        <f>((C114*L114)^2)/($C$5^2)</f>
        <v>3.0237034209509698E-4</v>
      </c>
      <c r="N114" s="508"/>
      <c r="O114" s="507"/>
      <c r="P114" s="507"/>
    </row>
    <row r="115" spans="1:25" ht="16.5">
      <c r="A115" s="543" t="s">
        <v>85</v>
      </c>
      <c r="B115" s="544" t="s">
        <v>817</v>
      </c>
      <c r="C115" s="520">
        <f>SUM(C116:C116)</f>
        <v>241.95147194348118</v>
      </c>
      <c r="D115" s="513"/>
      <c r="E115" s="514"/>
      <c r="F115" s="512"/>
      <c r="G115" s="512"/>
      <c r="H115" s="512"/>
      <c r="I115" s="515"/>
      <c r="J115" s="515">
        <f>SQRT(SUM(I116))</f>
        <v>0.28284271247461901</v>
      </c>
      <c r="K115" s="512">
        <f>IFERROR(((C115*J115)^2)/($C$114^2),0)</f>
        <v>7.9627129643953434E-3</v>
      </c>
      <c r="L115" s="512"/>
      <c r="M115" s="512"/>
      <c r="N115" s="512"/>
      <c r="O115" s="512"/>
      <c r="P115" s="512"/>
      <c r="U115" s="471" t="s">
        <v>819</v>
      </c>
      <c r="V115" s="456" t="s">
        <v>457</v>
      </c>
      <c r="W115" s="549" t="s">
        <v>778</v>
      </c>
      <c r="X115" s="549" t="s">
        <v>779</v>
      </c>
      <c r="Y115" s="456" t="s">
        <v>812</v>
      </c>
    </row>
    <row r="116" spans="1:25" ht="17.5" customHeight="1">
      <c r="A116" s="543" t="s">
        <v>85</v>
      </c>
      <c r="B116" s="545" t="s">
        <v>817</v>
      </c>
      <c r="C116" s="527">
        <f>'3C5 Suelos Agricolas N2O Indire'!I18*10^-6*(44/28)*RESULTADOS!E58</f>
        <v>241.95147194348118</v>
      </c>
      <c r="D116" s="528">
        <v>0.2</v>
      </c>
      <c r="E116" s="529">
        <f>Y117</f>
        <v>0.19999999999999998</v>
      </c>
      <c r="F116" s="517">
        <f>SQRT(D116^2+E116^2)</f>
        <v>0.28284271247461901</v>
      </c>
      <c r="G116" s="517"/>
      <c r="H116" s="517"/>
      <c r="I116" s="563">
        <f>((C116*F116)^2)/(C115^2)</f>
        <v>0.08</v>
      </c>
      <c r="J116" s="519"/>
      <c r="K116" s="519"/>
      <c r="L116" s="519"/>
      <c r="M116" s="519"/>
      <c r="N116" s="519"/>
      <c r="O116" s="518">
        <f>((C116*F116)^2)/($C$5^2)</f>
        <v>3.0567442042364241E-5</v>
      </c>
      <c r="P116" s="518"/>
      <c r="R116" s="185" t="s">
        <v>815</v>
      </c>
      <c r="S116" s="552" t="s">
        <v>824</v>
      </c>
      <c r="T116" t="s">
        <v>43</v>
      </c>
      <c r="U116" s="544" t="s">
        <v>799</v>
      </c>
      <c r="V116" s="185"/>
      <c r="W116" s="185"/>
      <c r="X116" s="185"/>
      <c r="Y116" s="185"/>
    </row>
    <row r="117" spans="1:25" ht="16.5">
      <c r="A117" s="543" t="s">
        <v>85</v>
      </c>
      <c r="B117" s="556" t="s">
        <v>818</v>
      </c>
      <c r="C117" s="520">
        <f>SUM(C118:C118)</f>
        <v>524.95558067329853</v>
      </c>
      <c r="D117" s="513"/>
      <c r="E117" s="514"/>
      <c r="F117" s="512"/>
      <c r="G117" s="512"/>
      <c r="H117" s="512"/>
      <c r="I117" s="515"/>
      <c r="J117" s="515">
        <f>SQRT(SUM(I118:I118))</f>
        <v>0.38873012632302006</v>
      </c>
      <c r="K117" s="512">
        <f>IFERROR(((C117*J117)^2)/($C$114^2),0)</f>
        <v>7.0803715698899539E-2</v>
      </c>
      <c r="L117" s="512"/>
      <c r="M117" s="512"/>
      <c r="N117" s="512"/>
      <c r="O117" s="512"/>
      <c r="P117" s="512"/>
      <c r="U117" s="545" t="s">
        <v>799</v>
      </c>
      <c r="V117" s="558">
        <v>0.01</v>
      </c>
      <c r="W117" s="185">
        <v>0.02</v>
      </c>
      <c r="X117" s="185">
        <v>0.05</v>
      </c>
      <c r="Y117" s="550">
        <f>V117/X117</f>
        <v>0.19999999999999998</v>
      </c>
    </row>
    <row r="118" spans="1:25" ht="16.5">
      <c r="A118" s="543" t="s">
        <v>85</v>
      </c>
      <c r="B118" s="557" t="s">
        <v>818</v>
      </c>
      <c r="C118" s="527">
        <f>'3C5 Suelos Agricolas N2O Indire'!T18*10^-6*(44/28)*RESULTADOS!E58</f>
        <v>524.95558067329853</v>
      </c>
      <c r="D118" s="528">
        <v>0.2</v>
      </c>
      <c r="E118" s="529">
        <f>Y119</f>
        <v>0.33333333333333337</v>
      </c>
      <c r="F118" s="517">
        <f>SQRT(D118^2+E118^2)</f>
        <v>0.38873012632302006</v>
      </c>
      <c r="G118" s="517"/>
      <c r="H118" s="517"/>
      <c r="I118" s="563">
        <f>((C118*F118)^2)/(C117^2)</f>
        <v>0.15111111111111114</v>
      </c>
      <c r="J118" s="519"/>
      <c r="K118" s="519"/>
      <c r="L118" s="519"/>
      <c r="M118" s="519"/>
      <c r="N118" s="519"/>
      <c r="O118" s="518">
        <f>((C118*F118)^2)/($C$5^2)</f>
        <v>2.7180290005273267E-4</v>
      </c>
      <c r="P118" s="518"/>
      <c r="R118" s="185" t="s">
        <v>815</v>
      </c>
      <c r="S118" s="552" t="s">
        <v>824</v>
      </c>
      <c r="T118" t="s">
        <v>43</v>
      </c>
      <c r="U118" s="556" t="s">
        <v>800</v>
      </c>
      <c r="V118" s="185"/>
      <c r="W118" s="185"/>
      <c r="X118" s="185"/>
      <c r="Y118" s="456"/>
    </row>
    <row r="119" spans="1:25" ht="17">
      <c r="A119" s="609" t="s">
        <v>83</v>
      </c>
      <c r="B119" s="530" t="s">
        <v>826</v>
      </c>
      <c r="C119" s="531">
        <f>C120</f>
        <v>21.429287431628282</v>
      </c>
      <c r="D119" s="507"/>
      <c r="E119" s="507"/>
      <c r="F119" s="507"/>
      <c r="G119" s="507"/>
      <c r="H119" s="507"/>
      <c r="I119" s="507"/>
      <c r="J119" s="508"/>
      <c r="K119" s="508"/>
      <c r="L119" s="509">
        <f>SQRT(K120)</f>
        <v>0.5</v>
      </c>
      <c r="M119" s="510">
        <f>((C119*L119)^2)/($C$5^2)</f>
        <v>7.4932123840038457E-7</v>
      </c>
      <c r="N119" s="508"/>
      <c r="O119" s="507"/>
      <c r="P119" s="507"/>
      <c r="U119" s="557" t="s">
        <v>800</v>
      </c>
      <c r="V119" s="558">
        <v>7.4999999999999997E-2</v>
      </c>
      <c r="W119" s="185">
        <v>5.0000000000000001E-4</v>
      </c>
      <c r="X119" s="185">
        <v>2.5000000000000001E-2</v>
      </c>
      <c r="Y119" s="550">
        <f>X119/V119</f>
        <v>0.33333333333333337</v>
      </c>
    </row>
    <row r="120" spans="1:25" ht="16.5">
      <c r="A120" s="609" t="s">
        <v>83</v>
      </c>
      <c r="B120" s="511" t="s">
        <v>826</v>
      </c>
      <c r="C120" s="520">
        <f>SUM(C121:C121)</f>
        <v>21.429287431628282</v>
      </c>
      <c r="D120" s="513"/>
      <c r="E120" s="514"/>
      <c r="F120" s="512"/>
      <c r="G120" s="512"/>
      <c r="H120" s="512"/>
      <c r="I120" s="515"/>
      <c r="J120" s="515">
        <f>SQRT(SUM(I121))</f>
        <v>0.5</v>
      </c>
      <c r="K120" s="512">
        <f>IFERROR(((C120*J120)^2)/($C$120^2),0)</f>
        <v>0.25</v>
      </c>
      <c r="L120" s="512"/>
      <c r="M120" s="512"/>
      <c r="N120" s="512"/>
      <c r="O120" s="512"/>
      <c r="P120" s="512"/>
    </row>
    <row r="121" spans="1:25" ht="17.5" customHeight="1">
      <c r="A121" s="609" t="s">
        <v>83</v>
      </c>
      <c r="B121" s="516" t="s">
        <v>826</v>
      </c>
      <c r="C121" s="527">
        <f>'3C2 Encalado'!G15*10^-3*RESULTADOS!E56*(44/12)</f>
        <v>21.429287431628282</v>
      </c>
      <c r="D121" s="528">
        <v>0.3</v>
      </c>
      <c r="E121" s="529">
        <v>0.4</v>
      </c>
      <c r="F121" s="517">
        <f>SQRT(D121^2+E121^2)</f>
        <v>0.5</v>
      </c>
      <c r="G121" s="517"/>
      <c r="H121" s="517"/>
      <c r="I121" s="563">
        <f>((C121*F121)^2)/(C120^2)</f>
        <v>0.25</v>
      </c>
      <c r="J121" s="519"/>
      <c r="K121" s="519"/>
      <c r="L121" s="519"/>
      <c r="M121" s="519"/>
      <c r="N121" s="519"/>
      <c r="O121" s="518">
        <f>((C121*F121)^2)/($C$5^2)</f>
        <v>7.4932123840038457E-7</v>
      </c>
      <c r="P121" s="518"/>
      <c r="R121" s="185" t="s">
        <v>821</v>
      </c>
      <c r="S121" s="552" t="s">
        <v>820</v>
      </c>
      <c r="T121" t="s">
        <v>43</v>
      </c>
    </row>
    <row r="122" spans="1:25" ht="33">
      <c r="A122" s="609" t="s">
        <v>83</v>
      </c>
      <c r="B122" s="530" t="s">
        <v>827</v>
      </c>
      <c r="C122" s="531">
        <f>C123</f>
        <v>208.83837333333332</v>
      </c>
      <c r="D122" s="507"/>
      <c r="E122" s="507"/>
      <c r="F122" s="507"/>
      <c r="G122" s="507"/>
      <c r="H122" s="507"/>
      <c r="I122" s="507"/>
      <c r="J122" s="508"/>
      <c r="K122" s="508"/>
      <c r="L122" s="509">
        <f>SQRT(K123)</f>
        <v>0.55901699437494745</v>
      </c>
      <c r="M122" s="510">
        <f>((C122*L122)^2)/($C$5^2)</f>
        <v>8.8957628901797632E-5</v>
      </c>
      <c r="N122" s="508"/>
      <c r="O122" s="507"/>
      <c r="P122" s="507"/>
    </row>
    <row r="123" spans="1:25" ht="16.5">
      <c r="A123" s="609" t="s">
        <v>83</v>
      </c>
      <c r="B123" s="544" t="s">
        <v>827</v>
      </c>
      <c r="C123" s="520">
        <f>SUM(C124:C124)</f>
        <v>208.83837333333332</v>
      </c>
      <c r="D123" s="513"/>
      <c r="E123" s="514"/>
      <c r="F123" s="512"/>
      <c r="G123" s="512"/>
      <c r="H123" s="512"/>
      <c r="I123" s="515"/>
      <c r="J123" s="515">
        <f>SQRT(SUM(I124))</f>
        <v>0.55901699437494745</v>
      </c>
      <c r="K123" s="512">
        <f>IFERROR(((C123*J123)^2)/($C$122^2),0)</f>
        <v>0.31250000000000006</v>
      </c>
      <c r="L123" s="512"/>
      <c r="M123" s="512"/>
      <c r="N123" s="512"/>
      <c r="O123" s="512"/>
      <c r="P123" s="512"/>
    </row>
    <row r="124" spans="1:25" ht="17.5" customHeight="1">
      <c r="A124" s="609" t="s">
        <v>83</v>
      </c>
      <c r="B124" s="545" t="s">
        <v>827</v>
      </c>
      <c r="C124" s="527">
        <f>'3C3 UREA'!E17*10^-3*RESULTADOS!E56*(44/12)</f>
        <v>208.83837333333332</v>
      </c>
      <c r="D124" s="528">
        <v>0.25</v>
      </c>
      <c r="E124" s="529">
        <v>0.5</v>
      </c>
      <c r="F124" s="517">
        <f>SQRT(D124^2+E124^2)</f>
        <v>0.55901699437494745</v>
      </c>
      <c r="G124" s="517"/>
      <c r="H124" s="517"/>
      <c r="I124" s="563">
        <f>((C124*F124)^2)/(C123^2)</f>
        <v>0.31250000000000006</v>
      </c>
      <c r="J124" s="519"/>
      <c r="K124" s="519"/>
      <c r="L124" s="519"/>
      <c r="M124" s="519"/>
      <c r="N124" s="519"/>
      <c r="O124" s="518">
        <f>((C124*F124)^2)/($C$5^2)</f>
        <v>8.8957628901797632E-5</v>
      </c>
      <c r="P124" s="518"/>
      <c r="R124" s="185" t="s">
        <v>822</v>
      </c>
      <c r="S124" s="552" t="s">
        <v>823</v>
      </c>
      <c r="T124" t="s">
        <v>43</v>
      </c>
    </row>
    <row r="125" spans="1:25" ht="16.5">
      <c r="A125" s="505"/>
      <c r="B125" s="511"/>
      <c r="C125" s="520">
        <f>C126</f>
        <v>55.458015923200009</v>
      </c>
      <c r="D125" s="513"/>
      <c r="E125" s="514"/>
      <c r="F125" s="512"/>
      <c r="G125" s="512"/>
      <c r="H125" s="512"/>
      <c r="I125" s="515"/>
      <c r="J125" s="515">
        <f>SQRT(SUM(I126))</f>
        <v>0.44721359549995804</v>
      </c>
      <c r="K125" s="512">
        <f>IFERROR(((C125*J125)^2)/($C$122^2),0)</f>
        <v>1.4103861948006394E-2</v>
      </c>
      <c r="L125" s="509">
        <f>SQRT(K125)</f>
        <v>0.11875968149168468</v>
      </c>
      <c r="M125" s="510">
        <f>((C125*L125)^2)/($C$5^2)</f>
        <v>2.831256901014025E-7</v>
      </c>
      <c r="N125" s="512"/>
      <c r="O125" s="512"/>
      <c r="P125" s="512"/>
    </row>
    <row r="126" spans="1:25" ht="17">
      <c r="A126" s="609" t="s">
        <v>1081</v>
      </c>
      <c r="B126" s="530" t="s">
        <v>1082</v>
      </c>
      <c r="C126" s="521">
        <v>55.458015923200009</v>
      </c>
      <c r="D126" s="535">
        <v>0.2</v>
      </c>
      <c r="E126" s="535">
        <v>0.4</v>
      </c>
      <c r="F126" s="517">
        <f>SQRT(D126^2+E126^2)</f>
        <v>0.44721359549995798</v>
      </c>
      <c r="G126" s="517"/>
      <c r="H126" s="517"/>
      <c r="I126" s="563">
        <f>((C126*F126)^2)/(C125^2)</f>
        <v>0.20000000000000007</v>
      </c>
      <c r="J126" s="508"/>
      <c r="K126" s="508"/>
      <c r="L126" s="509">
        <f>SQRT(K127)</f>
        <v>0</v>
      </c>
      <c r="M126" s="510">
        <f>((C126*L126)^2)/($C$5^2)</f>
        <v>0</v>
      </c>
      <c r="N126" s="508"/>
      <c r="O126" s="518">
        <f>((C126*F126)^2)/($C$5^2)</f>
        <v>4.0148675752093977E-6</v>
      </c>
      <c r="P126" s="507"/>
    </row>
    <row r="127" spans="1:25" ht="16.5">
      <c r="A127" s="505"/>
      <c r="B127" s="511"/>
      <c r="C127" s="520"/>
      <c r="D127" s="513"/>
      <c r="E127" s="514"/>
      <c r="F127" s="512"/>
      <c r="G127" s="512"/>
      <c r="H127" s="512"/>
      <c r="I127" s="515"/>
      <c r="J127" s="515"/>
      <c r="K127" s="512"/>
      <c r="L127" s="512"/>
      <c r="M127" s="512"/>
      <c r="N127" s="512"/>
      <c r="O127" s="512"/>
      <c r="P127" s="512"/>
    </row>
    <row r="128" spans="1:25" ht="17">
      <c r="A128" s="492"/>
      <c r="B128" s="524"/>
      <c r="C128" s="492"/>
      <c r="D128" s="492"/>
      <c r="E128" s="492"/>
      <c r="F128" s="492"/>
      <c r="G128" s="492"/>
      <c r="H128" s="492"/>
      <c r="I128" s="492"/>
      <c r="J128" s="492"/>
      <c r="K128" s="492"/>
      <c r="L128" s="492"/>
      <c r="M128" s="492"/>
      <c r="N128" s="492"/>
      <c r="O128" s="492"/>
      <c r="P128" s="492"/>
    </row>
    <row r="129" spans="1:16" ht="17">
      <c r="A129" s="492"/>
      <c r="B129" s="524"/>
      <c r="C129" s="492"/>
      <c r="D129" s="492"/>
      <c r="E129" s="492"/>
      <c r="F129" s="492"/>
      <c r="G129" s="492"/>
      <c r="H129" s="492"/>
      <c r="I129" s="492"/>
      <c r="J129" s="492"/>
      <c r="K129" s="492"/>
      <c r="L129" s="492"/>
      <c r="M129" s="492"/>
      <c r="N129" s="492"/>
      <c r="O129" s="492"/>
      <c r="P129" s="492"/>
    </row>
    <row r="130" spans="1:16" ht="17">
      <c r="A130" s="492"/>
      <c r="B130" s="524"/>
      <c r="C130" s="492"/>
      <c r="D130" s="492"/>
      <c r="E130" s="492"/>
      <c r="F130" s="492"/>
      <c r="G130" s="492"/>
      <c r="H130" s="492"/>
      <c r="I130" s="492"/>
      <c r="J130" s="492"/>
      <c r="K130" s="492"/>
      <c r="L130" s="492"/>
      <c r="M130" s="492"/>
      <c r="N130" s="492"/>
      <c r="O130" s="492"/>
      <c r="P130" s="492"/>
    </row>
    <row r="131" spans="1:16" ht="17">
      <c r="A131" s="492"/>
      <c r="B131" s="524"/>
      <c r="C131" s="492"/>
      <c r="D131" s="492"/>
      <c r="E131" s="492"/>
      <c r="F131" s="492"/>
      <c r="G131" s="492"/>
      <c r="H131" s="492"/>
      <c r="I131" s="492"/>
      <c r="J131" s="492"/>
      <c r="K131" s="492"/>
      <c r="L131" s="492"/>
      <c r="M131" s="492"/>
      <c r="N131" s="492"/>
      <c r="O131" s="492"/>
      <c r="P131" s="492"/>
    </row>
    <row r="132" spans="1:16" ht="17">
      <c r="A132" s="492"/>
      <c r="B132" s="524"/>
      <c r="C132" s="492"/>
      <c r="D132" s="492"/>
      <c r="E132" s="492"/>
      <c r="F132" s="492"/>
      <c r="G132" s="492"/>
      <c r="H132" s="492"/>
      <c r="I132" s="492"/>
      <c r="J132" s="492"/>
      <c r="K132" s="492"/>
      <c r="L132" s="492"/>
      <c r="M132" s="492"/>
      <c r="N132" s="492"/>
      <c r="O132" s="492"/>
      <c r="P132" s="492"/>
    </row>
    <row r="133" spans="1:16" ht="17">
      <c r="A133" s="492"/>
      <c r="B133" s="524"/>
      <c r="C133" s="492"/>
      <c r="D133" s="492"/>
      <c r="E133" s="492"/>
      <c r="F133" s="492"/>
      <c r="G133" s="492"/>
      <c r="H133" s="492"/>
      <c r="I133" s="492"/>
      <c r="J133" s="492"/>
      <c r="K133" s="492"/>
      <c r="L133" s="492"/>
      <c r="M133" s="492"/>
      <c r="N133" s="492"/>
      <c r="O133" s="492"/>
      <c r="P133" s="492"/>
    </row>
    <row r="134" spans="1:16" ht="17">
      <c r="A134" s="492"/>
      <c r="B134" s="524"/>
      <c r="C134" s="492"/>
      <c r="D134" s="492"/>
      <c r="E134" s="492"/>
      <c r="F134" s="492"/>
      <c r="G134" s="492"/>
      <c r="H134" s="492"/>
      <c r="I134" s="492"/>
      <c r="J134" s="492"/>
      <c r="K134" s="492"/>
      <c r="L134" s="492"/>
      <c r="M134" s="492"/>
      <c r="N134" s="492"/>
      <c r="O134" s="492"/>
      <c r="P134" s="492"/>
    </row>
    <row r="135" spans="1:16" ht="17">
      <c r="A135" s="492"/>
      <c r="B135" s="524"/>
      <c r="C135" s="492"/>
      <c r="D135" s="492"/>
      <c r="E135" s="492"/>
      <c r="F135" s="492"/>
      <c r="G135" s="492"/>
      <c r="H135" s="492"/>
      <c r="I135" s="492"/>
      <c r="J135" s="492"/>
      <c r="K135" s="492"/>
      <c r="L135" s="492"/>
      <c r="M135" s="492"/>
      <c r="N135" s="492"/>
      <c r="O135" s="492"/>
      <c r="P135" s="492"/>
    </row>
    <row r="136" spans="1:16" ht="17">
      <c r="A136" s="492"/>
      <c r="B136" s="524"/>
      <c r="C136" s="492"/>
      <c r="D136" s="492"/>
      <c r="E136" s="492"/>
      <c r="F136" s="492"/>
      <c r="G136" s="492"/>
      <c r="H136" s="492"/>
      <c r="I136" s="492"/>
      <c r="J136" s="492"/>
      <c r="K136" s="492"/>
      <c r="L136" s="492"/>
      <c r="M136" s="492"/>
      <c r="N136" s="492"/>
      <c r="O136" s="492"/>
      <c r="P136" s="492"/>
    </row>
    <row r="137" spans="1:16" ht="17">
      <c r="A137" s="492"/>
      <c r="B137" s="524"/>
      <c r="C137" s="492"/>
      <c r="D137" s="492"/>
      <c r="E137" s="492"/>
      <c r="F137" s="492"/>
      <c r="G137" s="492"/>
      <c r="H137" s="492"/>
      <c r="I137" s="492"/>
      <c r="J137" s="492"/>
      <c r="K137" s="492"/>
      <c r="L137" s="492"/>
      <c r="M137" s="492"/>
      <c r="N137" s="492"/>
      <c r="O137" s="492"/>
      <c r="P137" s="492"/>
    </row>
    <row r="138" spans="1:16" ht="17">
      <c r="A138" s="492"/>
      <c r="B138" s="524"/>
      <c r="C138" s="492"/>
      <c r="D138" s="492"/>
      <c r="E138" s="492"/>
      <c r="F138" s="492"/>
      <c r="G138" s="492"/>
      <c r="H138" s="492"/>
      <c r="I138" s="492"/>
      <c r="J138" s="492"/>
      <c r="K138" s="492"/>
      <c r="L138" s="492"/>
      <c r="M138" s="492"/>
      <c r="N138" s="492"/>
      <c r="O138" s="492"/>
      <c r="P138" s="492"/>
    </row>
    <row r="139" spans="1:16" ht="17">
      <c r="A139" s="492"/>
      <c r="B139" s="524"/>
      <c r="C139" s="492"/>
      <c r="D139" s="492"/>
      <c r="E139" s="492"/>
      <c r="F139" s="492"/>
      <c r="G139" s="492"/>
      <c r="H139" s="492"/>
      <c r="I139" s="492"/>
      <c r="J139" s="492"/>
      <c r="K139" s="492"/>
      <c r="L139" s="492"/>
      <c r="M139" s="492"/>
      <c r="N139" s="492"/>
      <c r="O139" s="492"/>
      <c r="P139" s="492"/>
    </row>
    <row r="140" spans="1:16" ht="17">
      <c r="A140" s="492"/>
      <c r="B140" s="524"/>
      <c r="C140" s="492"/>
      <c r="D140" s="492"/>
      <c r="E140" s="492"/>
      <c r="F140" s="492"/>
      <c r="G140" s="492"/>
      <c r="H140" s="492"/>
      <c r="I140" s="492"/>
      <c r="J140" s="492"/>
      <c r="K140" s="492"/>
      <c r="L140" s="492"/>
      <c r="M140" s="492"/>
      <c r="N140" s="492"/>
      <c r="O140" s="492"/>
      <c r="P140" s="492"/>
    </row>
    <row r="141" spans="1:16" ht="17">
      <c r="A141" s="492"/>
      <c r="B141" s="524"/>
      <c r="C141" s="492"/>
      <c r="D141" s="492"/>
      <c r="E141" s="492"/>
      <c r="F141" s="492"/>
      <c r="G141" s="492"/>
      <c r="H141" s="492"/>
      <c r="I141" s="492"/>
      <c r="J141" s="492"/>
      <c r="K141" s="492"/>
      <c r="L141" s="492"/>
      <c r="M141" s="492"/>
      <c r="N141" s="492"/>
      <c r="O141" s="492"/>
      <c r="P141" s="492"/>
    </row>
    <row r="142" spans="1:16" ht="17">
      <c r="A142" s="492"/>
      <c r="B142" s="524"/>
      <c r="C142" s="492"/>
      <c r="D142" s="492"/>
      <c r="E142" s="492"/>
      <c r="F142" s="492"/>
      <c r="G142" s="492"/>
      <c r="H142" s="492"/>
      <c r="I142" s="492"/>
      <c r="J142" s="492"/>
      <c r="K142" s="492"/>
      <c r="L142" s="492"/>
      <c r="M142" s="492"/>
      <c r="N142" s="492"/>
      <c r="O142" s="492"/>
      <c r="P142" s="492"/>
    </row>
    <row r="143" spans="1:16" ht="17">
      <c r="A143" s="492"/>
      <c r="B143" s="524"/>
      <c r="C143" s="492"/>
      <c r="D143" s="492"/>
      <c r="E143" s="492"/>
      <c r="F143" s="492"/>
      <c r="G143" s="492"/>
      <c r="H143" s="492"/>
      <c r="I143" s="492"/>
      <c r="J143" s="492"/>
      <c r="K143" s="492"/>
      <c r="L143" s="492"/>
      <c r="M143" s="492"/>
      <c r="N143" s="492"/>
      <c r="O143" s="492"/>
      <c r="P143" s="492"/>
    </row>
    <row r="144" spans="1:16" ht="17">
      <c r="A144" s="492"/>
      <c r="B144" s="524"/>
      <c r="C144" s="492"/>
      <c r="D144" s="492"/>
      <c r="E144" s="492"/>
      <c r="F144" s="492"/>
      <c r="G144" s="492"/>
      <c r="H144" s="492"/>
      <c r="I144" s="492"/>
      <c r="J144" s="492"/>
      <c r="K144" s="492"/>
      <c r="L144" s="492"/>
      <c r="M144" s="492"/>
      <c r="N144" s="492"/>
      <c r="O144" s="492"/>
      <c r="P144" s="492"/>
    </row>
    <row r="145" spans="1:16" ht="17">
      <c r="A145" s="492"/>
      <c r="B145" s="524"/>
      <c r="C145" s="492"/>
      <c r="D145" s="492"/>
      <c r="E145" s="492"/>
      <c r="F145" s="492"/>
      <c r="G145" s="492"/>
      <c r="H145" s="492"/>
      <c r="I145" s="492"/>
      <c r="J145" s="492"/>
      <c r="K145" s="492"/>
      <c r="L145" s="492"/>
      <c r="M145" s="492"/>
      <c r="N145" s="492"/>
      <c r="O145" s="492"/>
      <c r="P145" s="492"/>
    </row>
    <row r="146" spans="1:16" ht="17">
      <c r="A146" s="492"/>
      <c r="B146" s="524"/>
      <c r="C146" s="492"/>
      <c r="D146" s="492"/>
      <c r="E146" s="492"/>
      <c r="F146" s="492"/>
      <c r="G146" s="492"/>
      <c r="H146" s="492"/>
      <c r="I146" s="492"/>
      <c r="J146" s="492"/>
      <c r="K146" s="492"/>
      <c r="L146" s="492"/>
      <c r="M146" s="492"/>
      <c r="N146" s="492"/>
      <c r="O146" s="492"/>
      <c r="P146" s="492"/>
    </row>
    <row r="147" spans="1:16" ht="17">
      <c r="A147" s="492"/>
      <c r="B147" s="524"/>
      <c r="C147" s="492"/>
      <c r="D147" s="492"/>
      <c r="E147" s="492"/>
      <c r="F147" s="492"/>
      <c r="G147" s="492"/>
      <c r="H147" s="492"/>
      <c r="I147" s="492"/>
      <c r="J147" s="492"/>
      <c r="K147" s="492"/>
      <c r="L147" s="492"/>
      <c r="M147" s="492"/>
      <c r="N147" s="492"/>
      <c r="O147" s="492"/>
      <c r="P147" s="492"/>
    </row>
    <row r="148" spans="1:16" ht="17">
      <c r="A148" s="492"/>
      <c r="B148" s="524"/>
      <c r="C148" s="492"/>
      <c r="D148" s="492"/>
      <c r="E148" s="492"/>
      <c r="F148" s="492"/>
      <c r="G148" s="492"/>
      <c r="H148" s="492"/>
      <c r="I148" s="492"/>
      <c r="J148" s="492"/>
      <c r="K148" s="492"/>
      <c r="L148" s="492"/>
      <c r="M148" s="492"/>
      <c r="N148" s="492"/>
      <c r="O148" s="492"/>
      <c r="P148" s="492"/>
    </row>
    <row r="149" spans="1:16" ht="17">
      <c r="A149" s="492"/>
      <c r="B149" s="524"/>
      <c r="C149" s="492"/>
      <c r="D149" s="492"/>
      <c r="E149" s="492"/>
      <c r="F149" s="492"/>
      <c r="G149" s="492"/>
      <c r="H149" s="492"/>
      <c r="I149" s="492"/>
      <c r="J149" s="492"/>
      <c r="K149" s="492"/>
      <c r="L149" s="492"/>
      <c r="M149" s="492"/>
      <c r="N149" s="492"/>
      <c r="O149" s="492"/>
      <c r="P149" s="492"/>
    </row>
    <row r="150" spans="1:16" ht="17">
      <c r="A150" s="492"/>
      <c r="B150" s="524"/>
      <c r="C150" s="492"/>
      <c r="D150" s="492"/>
      <c r="E150" s="492"/>
      <c r="F150" s="492"/>
      <c r="G150" s="492"/>
      <c r="H150" s="492"/>
      <c r="I150" s="492"/>
      <c r="J150" s="492"/>
      <c r="K150" s="492"/>
      <c r="L150" s="492"/>
      <c r="M150" s="492"/>
      <c r="N150" s="492"/>
      <c r="O150" s="492"/>
      <c r="P150" s="492"/>
    </row>
    <row r="151" spans="1:16" ht="17">
      <c r="A151" s="492"/>
      <c r="B151" s="524"/>
      <c r="C151" s="492"/>
      <c r="D151" s="492"/>
      <c r="E151" s="492"/>
      <c r="F151" s="492"/>
      <c r="G151" s="492"/>
      <c r="H151" s="492"/>
      <c r="I151" s="492"/>
      <c r="J151" s="492"/>
      <c r="K151" s="492"/>
      <c r="L151" s="492"/>
      <c r="M151" s="492"/>
      <c r="N151" s="492"/>
      <c r="O151" s="492"/>
      <c r="P151" s="492"/>
    </row>
    <row r="152" spans="1:16" ht="17">
      <c r="A152" s="492"/>
      <c r="B152" s="524"/>
      <c r="C152" s="492"/>
      <c r="D152" s="492"/>
      <c r="E152" s="492"/>
      <c r="F152" s="492"/>
      <c r="G152" s="492"/>
      <c r="H152" s="492"/>
      <c r="I152" s="492"/>
      <c r="J152" s="492"/>
      <c r="K152" s="492"/>
      <c r="L152" s="492"/>
      <c r="M152" s="492"/>
      <c r="N152" s="492"/>
      <c r="O152" s="492"/>
      <c r="P152" s="492"/>
    </row>
    <row r="153" spans="1:16" ht="17">
      <c r="A153" s="492"/>
      <c r="B153" s="524"/>
      <c r="C153" s="492"/>
      <c r="D153" s="492"/>
      <c r="E153" s="492"/>
      <c r="F153" s="492"/>
      <c r="G153" s="492"/>
      <c r="H153" s="492"/>
      <c r="I153" s="492"/>
      <c r="J153" s="492"/>
      <c r="K153" s="492"/>
      <c r="L153" s="492"/>
      <c r="M153" s="492"/>
      <c r="N153" s="492"/>
      <c r="O153" s="492"/>
      <c r="P153" s="492"/>
    </row>
    <row r="154" spans="1:16" ht="17">
      <c r="A154" s="492"/>
      <c r="B154" s="524"/>
      <c r="C154" s="492"/>
      <c r="D154" s="492"/>
      <c r="E154" s="492"/>
      <c r="F154" s="492"/>
      <c r="G154" s="492"/>
      <c r="H154" s="492"/>
      <c r="I154" s="492"/>
      <c r="J154" s="492"/>
      <c r="K154" s="492"/>
      <c r="L154" s="492"/>
      <c r="M154" s="492"/>
      <c r="N154" s="492"/>
      <c r="O154" s="492"/>
      <c r="P154" s="492"/>
    </row>
    <row r="155" spans="1:16" ht="17">
      <c r="A155" s="492"/>
      <c r="B155" s="524"/>
      <c r="C155" s="492"/>
      <c r="D155" s="492"/>
      <c r="E155" s="492"/>
      <c r="F155" s="492"/>
      <c r="G155" s="492"/>
      <c r="H155" s="492"/>
      <c r="I155" s="492"/>
      <c r="J155" s="492"/>
      <c r="K155" s="492"/>
      <c r="L155" s="492"/>
      <c r="M155" s="492"/>
      <c r="N155" s="492"/>
      <c r="O155" s="492"/>
      <c r="P155" s="492"/>
    </row>
    <row r="156" spans="1:16" ht="17">
      <c r="A156" s="492"/>
      <c r="B156" s="524"/>
      <c r="C156" s="492"/>
      <c r="D156" s="492"/>
      <c r="E156" s="492"/>
      <c r="F156" s="492"/>
      <c r="G156" s="492"/>
      <c r="H156" s="492"/>
      <c r="I156" s="492"/>
      <c r="J156" s="492"/>
      <c r="K156" s="492"/>
      <c r="L156" s="492"/>
      <c r="M156" s="492"/>
      <c r="N156" s="492"/>
      <c r="O156" s="492"/>
      <c r="P156" s="492"/>
    </row>
    <row r="157" spans="1:16" ht="17">
      <c r="A157" s="492"/>
      <c r="B157" s="524"/>
      <c r="C157" s="492"/>
      <c r="D157" s="492"/>
      <c r="E157" s="492"/>
      <c r="F157" s="492"/>
      <c r="G157" s="492"/>
      <c r="H157" s="492"/>
      <c r="I157" s="492"/>
      <c r="J157" s="492"/>
      <c r="K157" s="492"/>
      <c r="L157" s="492"/>
      <c r="M157" s="492"/>
      <c r="N157" s="492"/>
      <c r="O157" s="492"/>
      <c r="P157" s="492"/>
    </row>
    <row r="158" spans="1:16" ht="17">
      <c r="A158" s="492"/>
      <c r="B158" s="524"/>
      <c r="C158" s="492"/>
      <c r="D158" s="492"/>
      <c r="E158" s="492"/>
      <c r="F158" s="492"/>
      <c r="G158" s="492"/>
      <c r="H158" s="492"/>
      <c r="I158" s="492"/>
      <c r="J158" s="492"/>
      <c r="K158" s="492"/>
      <c r="L158" s="492"/>
      <c r="M158" s="492"/>
      <c r="N158" s="492"/>
      <c r="O158" s="492"/>
      <c r="P158" s="492"/>
    </row>
    <row r="159" spans="1:16" ht="17">
      <c r="A159" s="492"/>
      <c r="B159" s="524"/>
      <c r="C159" s="492"/>
      <c r="D159" s="492"/>
      <c r="E159" s="492"/>
      <c r="F159" s="492"/>
      <c r="G159" s="492"/>
      <c r="H159" s="492"/>
      <c r="I159" s="492"/>
      <c r="J159" s="492"/>
      <c r="K159" s="492"/>
      <c r="L159" s="492"/>
      <c r="M159" s="492"/>
      <c r="N159" s="492"/>
      <c r="O159" s="492"/>
      <c r="P159" s="492"/>
    </row>
    <row r="160" spans="1:16" ht="17">
      <c r="A160" s="492"/>
      <c r="B160" s="524"/>
      <c r="C160" s="492"/>
      <c r="D160" s="492"/>
      <c r="E160" s="492"/>
      <c r="F160" s="492"/>
      <c r="G160" s="492"/>
      <c r="H160" s="492"/>
      <c r="I160" s="492"/>
      <c r="J160" s="492"/>
      <c r="K160" s="492"/>
      <c r="L160" s="492"/>
      <c r="M160" s="492"/>
      <c r="N160" s="492"/>
      <c r="O160" s="492"/>
      <c r="P160" s="492"/>
    </row>
    <row r="161" spans="1:16" ht="17">
      <c r="A161" s="492"/>
      <c r="B161" s="524"/>
      <c r="C161" s="492"/>
      <c r="D161" s="492"/>
      <c r="E161" s="492"/>
      <c r="F161" s="492"/>
      <c r="G161" s="492"/>
      <c r="H161" s="492"/>
      <c r="I161" s="492"/>
      <c r="J161" s="492"/>
      <c r="K161" s="492"/>
      <c r="L161" s="492"/>
      <c r="M161" s="492"/>
      <c r="N161" s="492"/>
      <c r="O161" s="492"/>
      <c r="P161" s="492"/>
    </row>
    <row r="162" spans="1:16" ht="17">
      <c r="A162" s="492"/>
      <c r="B162" s="524"/>
      <c r="C162" s="492"/>
      <c r="D162" s="492"/>
      <c r="E162" s="492"/>
      <c r="F162" s="492"/>
      <c r="G162" s="492"/>
      <c r="H162" s="492"/>
      <c r="I162" s="492"/>
      <c r="J162" s="492"/>
      <c r="K162" s="492"/>
      <c r="L162" s="492"/>
      <c r="M162" s="492"/>
      <c r="N162" s="492"/>
      <c r="O162" s="492"/>
      <c r="P162" s="492"/>
    </row>
    <row r="163" spans="1:16" ht="17">
      <c r="A163" s="492"/>
      <c r="B163" s="524"/>
      <c r="C163" s="492"/>
      <c r="D163" s="492"/>
      <c r="E163" s="492"/>
      <c r="F163" s="492"/>
      <c r="G163" s="492"/>
      <c r="H163" s="492"/>
      <c r="I163" s="492"/>
      <c r="J163" s="492"/>
      <c r="K163" s="492"/>
      <c r="L163" s="492"/>
      <c r="M163" s="492"/>
      <c r="N163" s="492"/>
      <c r="O163" s="492"/>
      <c r="P163" s="492"/>
    </row>
    <row r="164" spans="1:16" ht="17">
      <c r="A164" s="492"/>
      <c r="B164" s="524"/>
      <c r="C164" s="492"/>
      <c r="D164" s="492"/>
      <c r="E164" s="492"/>
      <c r="F164" s="492"/>
      <c r="G164" s="492"/>
      <c r="H164" s="492"/>
      <c r="I164" s="492"/>
      <c r="J164" s="492"/>
      <c r="K164" s="492"/>
      <c r="L164" s="492"/>
      <c r="M164" s="492"/>
      <c r="N164" s="492"/>
      <c r="O164" s="492"/>
      <c r="P164" s="492"/>
    </row>
    <row r="165" spans="1:16" ht="17">
      <c r="A165" s="492"/>
      <c r="B165" s="524"/>
      <c r="C165" s="492"/>
      <c r="D165" s="492"/>
      <c r="E165" s="492"/>
      <c r="F165" s="492"/>
      <c r="G165" s="492"/>
      <c r="H165" s="492"/>
      <c r="I165" s="492"/>
      <c r="J165" s="492"/>
      <c r="K165" s="492"/>
      <c r="L165" s="492"/>
      <c r="M165" s="492"/>
      <c r="N165" s="492"/>
      <c r="O165" s="492"/>
      <c r="P165" s="492"/>
    </row>
    <row r="166" spans="1:16" ht="17">
      <c r="A166" s="492"/>
      <c r="B166" s="524"/>
      <c r="C166" s="492"/>
      <c r="D166" s="492"/>
      <c r="E166" s="492"/>
      <c r="F166" s="492"/>
      <c r="G166" s="492"/>
      <c r="H166" s="492"/>
      <c r="I166" s="492"/>
      <c r="J166" s="492"/>
      <c r="K166" s="492"/>
      <c r="L166" s="492"/>
      <c r="M166" s="492"/>
      <c r="N166" s="492"/>
      <c r="O166" s="492"/>
      <c r="P166" s="492"/>
    </row>
    <row r="167" spans="1:16" ht="17">
      <c r="A167" s="492"/>
      <c r="B167" s="524"/>
      <c r="C167" s="492"/>
      <c r="D167" s="492"/>
      <c r="E167" s="492"/>
      <c r="F167" s="492"/>
      <c r="G167" s="492"/>
      <c r="H167" s="492"/>
      <c r="I167" s="492"/>
      <c r="J167" s="492"/>
      <c r="K167" s="492"/>
      <c r="L167" s="492"/>
      <c r="M167" s="492"/>
      <c r="N167" s="492"/>
      <c r="O167" s="492"/>
      <c r="P167" s="492"/>
    </row>
    <row r="168" spans="1:16" ht="17">
      <c r="A168" s="492"/>
      <c r="B168" s="524"/>
      <c r="C168" s="492"/>
      <c r="D168" s="492"/>
      <c r="E168" s="492"/>
      <c r="F168" s="492"/>
      <c r="G168" s="492"/>
      <c r="H168" s="492"/>
      <c r="I168" s="492"/>
      <c r="J168" s="492"/>
      <c r="K168" s="492"/>
      <c r="L168" s="492"/>
      <c r="M168" s="492"/>
      <c r="N168" s="492"/>
      <c r="O168" s="492"/>
      <c r="P168" s="492"/>
    </row>
    <row r="169" spans="1:16" ht="17">
      <c r="A169" s="492"/>
      <c r="B169" s="524"/>
      <c r="C169" s="492"/>
      <c r="D169" s="492"/>
      <c r="E169" s="492"/>
      <c r="F169" s="492"/>
      <c r="G169" s="492"/>
      <c r="H169" s="492"/>
      <c r="I169" s="492"/>
      <c r="J169" s="492"/>
      <c r="K169" s="492"/>
      <c r="L169" s="492"/>
      <c r="M169" s="492"/>
      <c r="N169" s="492"/>
      <c r="O169" s="492"/>
      <c r="P169" s="492"/>
    </row>
    <row r="170" spans="1:16" ht="17">
      <c r="A170" s="492"/>
      <c r="B170" s="524"/>
      <c r="C170" s="492"/>
      <c r="D170" s="492"/>
      <c r="E170" s="492"/>
      <c r="F170" s="492"/>
      <c r="G170" s="492"/>
      <c r="H170" s="492"/>
      <c r="I170" s="492"/>
      <c r="J170" s="492"/>
      <c r="K170" s="492"/>
      <c r="L170" s="492"/>
      <c r="M170" s="492"/>
      <c r="N170" s="492"/>
      <c r="O170" s="492"/>
      <c r="P170" s="492"/>
    </row>
    <row r="171" spans="1:16" ht="17">
      <c r="A171" s="492"/>
      <c r="B171" s="524"/>
      <c r="C171" s="492"/>
      <c r="D171" s="492"/>
      <c r="E171" s="492"/>
      <c r="F171" s="492"/>
      <c r="G171" s="492"/>
      <c r="H171" s="492"/>
      <c r="I171" s="492"/>
      <c r="J171" s="492"/>
      <c r="K171" s="492"/>
      <c r="L171" s="492"/>
      <c r="M171" s="492"/>
      <c r="N171" s="492"/>
      <c r="O171" s="492"/>
      <c r="P171" s="492"/>
    </row>
    <row r="172" spans="1:16" ht="17">
      <c r="A172" s="492"/>
      <c r="B172" s="524"/>
      <c r="C172" s="492"/>
      <c r="D172" s="492"/>
      <c r="E172" s="492"/>
      <c r="F172" s="492"/>
      <c r="G172" s="492"/>
      <c r="H172" s="492"/>
      <c r="I172" s="492"/>
      <c r="J172" s="492"/>
      <c r="K172" s="492"/>
      <c r="L172" s="492"/>
      <c r="M172" s="492"/>
      <c r="N172" s="492"/>
      <c r="O172" s="492"/>
      <c r="P172" s="492"/>
    </row>
    <row r="173" spans="1:16" ht="17">
      <c r="A173" s="492"/>
      <c r="B173" s="524"/>
      <c r="C173" s="492"/>
      <c r="D173" s="492"/>
      <c r="E173" s="492"/>
      <c r="F173" s="492"/>
      <c r="G173" s="492"/>
      <c r="H173" s="492"/>
      <c r="I173" s="492"/>
      <c r="J173" s="492"/>
      <c r="K173" s="492"/>
      <c r="L173" s="492"/>
      <c r="M173" s="492"/>
      <c r="N173" s="492"/>
      <c r="O173" s="492"/>
      <c r="P173" s="492"/>
    </row>
    <row r="174" spans="1:16" ht="17">
      <c r="A174" s="492"/>
      <c r="B174" s="524"/>
      <c r="C174" s="492"/>
      <c r="D174" s="492"/>
      <c r="E174" s="492"/>
      <c r="F174" s="492"/>
      <c r="G174" s="492"/>
      <c r="H174" s="492"/>
      <c r="I174" s="492"/>
      <c r="J174" s="492"/>
      <c r="K174" s="492"/>
      <c r="L174" s="492"/>
      <c r="M174" s="492"/>
      <c r="N174" s="492"/>
      <c r="O174" s="492"/>
      <c r="P174" s="492"/>
    </row>
    <row r="175" spans="1:16" ht="16.5">
      <c r="A175" s="492"/>
      <c r="B175" s="492"/>
      <c r="C175" s="492"/>
      <c r="D175" s="492"/>
      <c r="E175" s="492"/>
      <c r="F175" s="492"/>
      <c r="G175" s="492"/>
      <c r="H175" s="492"/>
      <c r="I175" s="492"/>
      <c r="J175" s="492"/>
      <c r="K175" s="492"/>
      <c r="L175" s="492"/>
      <c r="M175" s="492"/>
      <c r="N175" s="492"/>
      <c r="O175" s="492"/>
      <c r="P175" s="492"/>
    </row>
    <row r="176" spans="1:16" ht="16.5">
      <c r="A176" s="492"/>
      <c r="B176" s="492"/>
      <c r="C176" s="492"/>
      <c r="D176" s="492"/>
      <c r="E176" s="492"/>
      <c r="F176" s="492"/>
      <c r="G176" s="492"/>
      <c r="H176" s="492"/>
      <c r="I176" s="492"/>
      <c r="J176" s="492"/>
      <c r="K176" s="492"/>
      <c r="L176" s="492"/>
      <c r="M176" s="492"/>
      <c r="N176" s="492"/>
      <c r="O176" s="492"/>
      <c r="P176" s="492"/>
    </row>
    <row r="177" spans="1:16" ht="16.5">
      <c r="A177" s="492"/>
      <c r="B177" s="492"/>
      <c r="C177" s="492"/>
      <c r="D177" s="492"/>
      <c r="E177" s="492"/>
      <c r="F177" s="492"/>
      <c r="G177" s="492"/>
      <c r="H177" s="492"/>
      <c r="I177" s="492"/>
      <c r="J177" s="492"/>
      <c r="K177" s="492"/>
      <c r="L177" s="492"/>
      <c r="M177" s="492"/>
      <c r="N177" s="492"/>
      <c r="O177" s="492"/>
      <c r="P177" s="492"/>
    </row>
    <row r="178" spans="1:16" ht="16.5">
      <c r="A178" s="492"/>
      <c r="B178" s="492"/>
      <c r="C178" s="492"/>
      <c r="D178" s="492"/>
      <c r="E178" s="492"/>
      <c r="F178" s="492"/>
      <c r="G178" s="492"/>
      <c r="H178" s="492"/>
      <c r="I178" s="492"/>
      <c r="J178" s="492"/>
      <c r="K178" s="492"/>
      <c r="L178" s="492"/>
      <c r="M178" s="492"/>
      <c r="N178" s="492"/>
      <c r="O178" s="492"/>
      <c r="P178" s="492"/>
    </row>
    <row r="179" spans="1:16" ht="16.5">
      <c r="A179" s="492"/>
      <c r="B179" s="492"/>
      <c r="C179" s="492"/>
      <c r="D179" s="492"/>
      <c r="E179" s="492"/>
      <c r="F179" s="492"/>
      <c r="G179" s="492"/>
      <c r="H179" s="492"/>
      <c r="I179" s="492"/>
      <c r="J179" s="492"/>
      <c r="K179" s="492"/>
      <c r="L179" s="492"/>
      <c r="M179" s="492"/>
      <c r="N179" s="492"/>
      <c r="O179" s="492"/>
      <c r="P179" s="492"/>
    </row>
    <row r="180" spans="1:16" ht="16.5">
      <c r="A180" s="492"/>
      <c r="B180" s="492"/>
      <c r="C180" s="492"/>
      <c r="D180" s="492"/>
      <c r="E180" s="492"/>
      <c r="F180" s="492"/>
      <c r="G180" s="492"/>
      <c r="H180" s="492"/>
      <c r="I180" s="492"/>
      <c r="J180" s="492"/>
      <c r="K180" s="492"/>
      <c r="L180" s="492"/>
      <c r="M180" s="492"/>
      <c r="N180" s="492"/>
      <c r="O180" s="492"/>
      <c r="P180" s="492"/>
    </row>
    <row r="181" spans="1:16" ht="16.5">
      <c r="A181" s="492"/>
      <c r="B181" s="492"/>
      <c r="C181" s="492"/>
      <c r="D181" s="492"/>
      <c r="E181" s="492"/>
      <c r="F181" s="492"/>
      <c r="G181" s="492"/>
      <c r="H181" s="492"/>
      <c r="I181" s="492"/>
      <c r="J181" s="492"/>
      <c r="K181" s="492"/>
      <c r="L181" s="492"/>
      <c r="M181" s="492"/>
      <c r="N181" s="492"/>
      <c r="O181" s="492"/>
      <c r="P181" s="492"/>
    </row>
    <row r="182" spans="1:16" ht="16.5">
      <c r="A182" s="492"/>
      <c r="B182" s="492"/>
      <c r="C182" s="492"/>
      <c r="D182" s="492"/>
      <c r="E182" s="492"/>
      <c r="F182" s="492"/>
      <c r="G182" s="492"/>
      <c r="H182" s="492"/>
      <c r="I182" s="492"/>
      <c r="J182" s="492"/>
      <c r="K182" s="492"/>
      <c r="L182" s="492"/>
      <c r="M182" s="492"/>
      <c r="N182" s="492"/>
      <c r="O182" s="492"/>
      <c r="P182" s="492"/>
    </row>
    <row r="183" spans="1:16" ht="16.5">
      <c r="A183" s="492"/>
      <c r="B183" s="492"/>
      <c r="C183" s="492"/>
      <c r="D183" s="492"/>
      <c r="E183" s="492"/>
      <c r="F183" s="492"/>
      <c r="G183" s="492"/>
      <c r="H183" s="492"/>
      <c r="I183" s="492"/>
      <c r="J183" s="492"/>
      <c r="K183" s="492"/>
      <c r="L183" s="492"/>
      <c r="M183" s="492"/>
      <c r="N183" s="492"/>
      <c r="O183" s="492"/>
      <c r="P183" s="492"/>
    </row>
    <row r="184" spans="1:16" ht="16.5">
      <c r="A184" s="492"/>
      <c r="B184" s="492"/>
      <c r="C184" s="492"/>
      <c r="D184" s="492"/>
      <c r="E184" s="492"/>
      <c r="F184" s="492"/>
      <c r="G184" s="492"/>
      <c r="H184" s="492"/>
      <c r="I184" s="492"/>
      <c r="J184" s="492"/>
      <c r="K184" s="492"/>
      <c r="L184" s="492"/>
      <c r="M184" s="492"/>
      <c r="N184" s="492"/>
      <c r="O184" s="492"/>
      <c r="P184" s="492"/>
    </row>
    <row r="185" spans="1:16" ht="16.5">
      <c r="A185" s="492"/>
      <c r="B185" s="492"/>
      <c r="C185" s="492"/>
      <c r="D185" s="492"/>
      <c r="E185" s="492"/>
      <c r="F185" s="492"/>
      <c r="G185" s="492"/>
      <c r="H185" s="492"/>
      <c r="I185" s="492"/>
      <c r="J185" s="492"/>
      <c r="K185" s="492"/>
      <c r="L185" s="492"/>
      <c r="M185" s="492"/>
      <c r="N185" s="492"/>
      <c r="O185" s="492"/>
      <c r="P185" s="492"/>
    </row>
    <row r="186" spans="1:16" ht="16.5">
      <c r="A186" s="492"/>
      <c r="B186" s="492"/>
      <c r="C186" s="492"/>
      <c r="D186" s="492"/>
      <c r="E186" s="492"/>
      <c r="F186" s="492"/>
      <c r="G186" s="492"/>
      <c r="H186" s="492"/>
      <c r="I186" s="492"/>
      <c r="J186" s="492"/>
      <c r="K186" s="492"/>
      <c r="L186" s="492"/>
      <c r="M186" s="492"/>
      <c r="N186" s="492"/>
      <c r="O186" s="492"/>
      <c r="P186" s="492"/>
    </row>
    <row r="187" spans="1:16" ht="16.5">
      <c r="A187" s="492"/>
      <c r="B187" s="492"/>
      <c r="C187" s="492"/>
      <c r="D187" s="492"/>
      <c r="E187" s="492"/>
      <c r="F187" s="492"/>
      <c r="G187" s="492"/>
      <c r="H187" s="492"/>
      <c r="I187" s="492"/>
      <c r="J187" s="492"/>
      <c r="K187" s="492"/>
      <c r="L187" s="492"/>
      <c r="M187" s="492"/>
      <c r="N187" s="492"/>
      <c r="O187" s="492"/>
      <c r="P187" s="492"/>
    </row>
    <row r="188" spans="1:16" ht="16.5">
      <c r="A188" s="492"/>
      <c r="B188" s="492"/>
      <c r="C188" s="492"/>
      <c r="D188" s="492"/>
      <c r="E188" s="492"/>
      <c r="F188" s="492"/>
      <c r="G188" s="492"/>
      <c r="H188" s="492"/>
      <c r="I188" s="492"/>
      <c r="J188" s="492"/>
      <c r="K188" s="492"/>
      <c r="L188" s="492"/>
      <c r="M188" s="492"/>
      <c r="N188" s="492"/>
      <c r="O188" s="492"/>
      <c r="P188" s="492"/>
    </row>
    <row r="189" spans="1:16" ht="16.5">
      <c r="A189" s="492"/>
      <c r="B189" s="492"/>
      <c r="C189" s="492"/>
      <c r="D189" s="492"/>
      <c r="E189" s="492"/>
      <c r="F189" s="492"/>
      <c r="G189" s="492"/>
      <c r="H189" s="492"/>
      <c r="I189" s="492"/>
      <c r="J189" s="492"/>
      <c r="K189" s="492"/>
      <c r="L189" s="492"/>
      <c r="M189" s="492"/>
      <c r="N189" s="492"/>
      <c r="O189" s="492"/>
      <c r="P189" s="492"/>
    </row>
  </sheetData>
  <mergeCells count="6">
    <mergeCell ref="I2:N2"/>
    <mergeCell ref="O2:P2"/>
    <mergeCell ref="I3:J3"/>
    <mergeCell ref="K3:L3"/>
    <mergeCell ref="M3:N3"/>
    <mergeCell ref="O3:P3"/>
  </mergeCells>
  <hyperlinks>
    <hyperlink ref="F2" location="INDICE!A1" display="INDICE" xr:uid="{00000000-0004-0000-1700-000000000000}"/>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66"/>
  <sheetViews>
    <sheetView showGridLines="0" topLeftCell="A31" zoomScale="60" zoomScaleNormal="60" workbookViewId="0">
      <selection activeCell="N13" sqref="N13"/>
    </sheetView>
  </sheetViews>
  <sheetFormatPr defaultColWidth="10.6640625" defaultRowHeight="14"/>
  <cols>
    <col min="1" max="1" width="2.58203125" customWidth="1"/>
    <col min="3" max="3" width="10.08203125" customWidth="1"/>
    <col min="4" max="4" width="49.58203125" customWidth="1"/>
    <col min="5" max="5" width="6" customWidth="1"/>
    <col min="6" max="7" width="15.33203125" customWidth="1"/>
    <col min="8" max="9" width="16.33203125" style="602" customWidth="1"/>
    <col min="12" max="14" width="10.58203125" style="571" customWidth="1"/>
  </cols>
  <sheetData>
    <row r="1" spans="1:11">
      <c r="B1" s="571"/>
      <c r="C1" s="571"/>
      <c r="D1" s="571"/>
      <c r="E1" s="571"/>
      <c r="F1" s="571"/>
      <c r="G1" s="571"/>
      <c r="H1" s="572"/>
      <c r="I1" s="572"/>
      <c r="J1" s="571"/>
      <c r="K1" s="571"/>
    </row>
    <row r="2" spans="1:11" ht="18">
      <c r="B2" s="573" t="s">
        <v>832</v>
      </c>
      <c r="C2" s="573"/>
      <c r="D2" s="571"/>
      <c r="E2" s="571"/>
      <c r="F2" s="571"/>
      <c r="G2" s="572"/>
      <c r="H2" s="572"/>
      <c r="I2" s="642" t="s">
        <v>898</v>
      </c>
      <c r="J2" s="571"/>
      <c r="K2" s="571"/>
    </row>
    <row r="3" spans="1:11">
      <c r="B3" s="574" t="s">
        <v>833</v>
      </c>
      <c r="C3" s="575"/>
      <c r="D3" s="575"/>
      <c r="E3" s="575"/>
      <c r="F3" s="575"/>
      <c r="G3" s="576"/>
      <c r="H3" s="576"/>
      <c r="I3" s="576"/>
      <c r="J3" s="575"/>
      <c r="K3" s="577"/>
    </row>
    <row r="4" spans="1:11" ht="35.5" customHeight="1">
      <c r="B4" s="2842"/>
      <c r="C4" s="2843"/>
      <c r="D4" s="2843"/>
      <c r="E4" s="2843"/>
      <c r="F4" s="2843"/>
      <c r="G4" s="2843"/>
      <c r="H4" s="2843"/>
      <c r="I4" s="2843"/>
      <c r="J4" s="2843"/>
      <c r="K4" s="2844"/>
    </row>
    <row r="5" spans="1:11" ht="35.15" customHeight="1">
      <c r="B5" s="2845" t="s">
        <v>834</v>
      </c>
      <c r="C5" s="2846"/>
      <c r="D5" s="2846"/>
      <c r="E5" s="2846"/>
      <c r="F5" s="2846"/>
      <c r="G5" s="2846"/>
      <c r="H5" s="2846"/>
      <c r="I5" s="2846"/>
      <c r="J5" s="2846"/>
      <c r="K5" s="2847"/>
    </row>
    <row r="6" spans="1:11" ht="74.150000000000006" customHeight="1">
      <c r="B6" s="2845" t="s">
        <v>835</v>
      </c>
      <c r="C6" s="2846"/>
      <c r="D6" s="2846"/>
      <c r="E6" s="2846"/>
      <c r="F6" s="2846"/>
      <c r="G6" s="2846"/>
      <c r="H6" s="2846"/>
      <c r="I6" s="2846"/>
      <c r="J6" s="2846"/>
      <c r="K6" s="2847"/>
    </row>
    <row r="7" spans="1:11">
      <c r="B7" s="571"/>
      <c r="C7" s="571"/>
      <c r="D7" s="571"/>
      <c r="E7" s="571"/>
      <c r="F7" s="571"/>
      <c r="G7" s="571"/>
      <c r="H7" s="572"/>
      <c r="I7" s="572"/>
      <c r="J7" s="571"/>
      <c r="K7" s="571"/>
    </row>
    <row r="8" spans="1:11" ht="16.5">
      <c r="B8" s="2848" t="s">
        <v>836</v>
      </c>
      <c r="C8" s="2849"/>
      <c r="D8" s="2849"/>
      <c r="E8" s="2849"/>
      <c r="F8" s="2849"/>
      <c r="G8" s="2849"/>
      <c r="H8" s="2849"/>
      <c r="I8" s="2849"/>
      <c r="J8" s="2849"/>
      <c r="K8" s="2850"/>
    </row>
    <row r="9" spans="1:11" ht="16.5">
      <c r="B9" s="613" t="s">
        <v>7</v>
      </c>
      <c r="C9" s="614"/>
      <c r="D9" s="615"/>
      <c r="E9" s="640" t="s">
        <v>837</v>
      </c>
      <c r="F9" s="2848" t="s">
        <v>838</v>
      </c>
      <c r="G9" s="2850"/>
      <c r="H9" s="2848" t="s">
        <v>839</v>
      </c>
      <c r="I9" s="2850"/>
      <c r="J9" s="616" t="s">
        <v>840</v>
      </c>
      <c r="K9" s="616" t="s">
        <v>8</v>
      </c>
    </row>
    <row r="10" spans="1:11" ht="16.5">
      <c r="B10" s="571"/>
      <c r="C10" s="578"/>
      <c r="D10" s="579"/>
      <c r="E10" s="580"/>
      <c r="F10" s="581"/>
      <c r="G10" s="582"/>
      <c r="H10" s="581"/>
      <c r="I10" s="582"/>
      <c r="J10" s="580"/>
      <c r="K10" s="580"/>
    </row>
    <row r="11" spans="1:11" ht="108.5">
      <c r="A11" s="656" t="s">
        <v>932</v>
      </c>
      <c r="B11" s="610" t="s">
        <v>841</v>
      </c>
      <c r="C11" s="610" t="s">
        <v>82</v>
      </c>
      <c r="D11" s="611" t="s">
        <v>842</v>
      </c>
      <c r="E11" s="612" t="s">
        <v>843</v>
      </c>
      <c r="F11" s="612" t="s">
        <v>844</v>
      </c>
      <c r="G11" s="612" t="s">
        <v>845</v>
      </c>
      <c r="H11" s="612" t="s">
        <v>846</v>
      </c>
      <c r="I11" s="612" t="s">
        <v>847</v>
      </c>
      <c r="J11" s="612" t="s">
        <v>848</v>
      </c>
      <c r="K11" s="612" t="s">
        <v>849</v>
      </c>
    </row>
    <row r="12" spans="1:11" ht="31">
      <c r="A12">
        <v>1</v>
      </c>
      <c r="B12" s="644" t="s">
        <v>680</v>
      </c>
      <c r="C12" s="589" t="s">
        <v>315</v>
      </c>
      <c r="D12" s="645" t="s">
        <v>917</v>
      </c>
      <c r="E12" s="646" t="s">
        <v>84</v>
      </c>
      <c r="F12" s="669">
        <v>2679.974189555016</v>
      </c>
      <c r="G12" s="669">
        <v>2679.974189555016</v>
      </c>
      <c r="H12" s="649">
        <f>'3A1 Fermentación E.'!F13*RESULTADOS!$E$57</f>
        <v>1264.4378220850851</v>
      </c>
      <c r="I12" s="649">
        <f t="shared" ref="I12:I40" si="0">H12</f>
        <v>1264.4378220850851</v>
      </c>
      <c r="J12" s="646"/>
      <c r="K12" s="612"/>
    </row>
    <row r="13" spans="1:11" ht="31">
      <c r="A13">
        <v>2</v>
      </c>
      <c r="B13" s="644" t="s">
        <v>680</v>
      </c>
      <c r="C13" s="589" t="s">
        <v>315</v>
      </c>
      <c r="D13" s="645" t="s">
        <v>918</v>
      </c>
      <c r="E13" s="646" t="s">
        <v>84</v>
      </c>
      <c r="F13" s="669">
        <v>1096.9265270166334</v>
      </c>
      <c r="G13" s="669">
        <v>1096.9265270166334</v>
      </c>
      <c r="H13" s="649">
        <f>'3A1 Fermentación E.'!F16*RESULTADOS!$E$57</f>
        <v>313.31202957961273</v>
      </c>
      <c r="I13" s="649">
        <f t="shared" si="0"/>
        <v>313.31202957961273</v>
      </c>
      <c r="J13" s="646"/>
      <c r="K13" s="612"/>
    </row>
    <row r="14" spans="1:11" ht="31">
      <c r="A14">
        <v>3</v>
      </c>
      <c r="B14" s="644" t="s">
        <v>680</v>
      </c>
      <c r="C14" s="589" t="s">
        <v>315</v>
      </c>
      <c r="D14" s="645" t="s">
        <v>919</v>
      </c>
      <c r="E14" s="646" t="s">
        <v>84</v>
      </c>
      <c r="F14" s="669">
        <v>2009.7531286968995</v>
      </c>
      <c r="G14" s="669">
        <v>2009.7531286968995</v>
      </c>
      <c r="H14" s="649">
        <f>'3A1 Fermentación E.'!F19*RESULTADOS!$E$57</f>
        <v>481.85395632185993</v>
      </c>
      <c r="I14" s="649">
        <f t="shared" si="0"/>
        <v>481.85395632185993</v>
      </c>
      <c r="J14" s="646"/>
      <c r="K14" s="612"/>
    </row>
    <row r="15" spans="1:11" ht="31">
      <c r="A15">
        <v>4</v>
      </c>
      <c r="B15" s="644" t="s">
        <v>680</v>
      </c>
      <c r="C15" s="589" t="s">
        <v>315</v>
      </c>
      <c r="D15" s="645" t="s">
        <v>920</v>
      </c>
      <c r="E15" s="646" t="s">
        <v>84</v>
      </c>
      <c r="F15" s="669">
        <v>3240.0948543721474</v>
      </c>
      <c r="G15" s="669">
        <v>3240.0948543721474</v>
      </c>
      <c r="H15" s="649">
        <f>'3A1 Fermentación E.'!F22*RESULTADOS!$E$57</f>
        <v>1182.1640424552716</v>
      </c>
      <c r="I15" s="649">
        <f t="shared" si="0"/>
        <v>1182.1640424552716</v>
      </c>
      <c r="J15" s="646"/>
      <c r="K15" s="612"/>
    </row>
    <row r="16" spans="1:11" ht="31">
      <c r="A16">
        <v>5</v>
      </c>
      <c r="B16" s="644" t="s">
        <v>680</v>
      </c>
      <c r="C16" s="589" t="s">
        <v>315</v>
      </c>
      <c r="D16" s="645" t="s">
        <v>921</v>
      </c>
      <c r="E16" s="646" t="s">
        <v>84</v>
      </c>
      <c r="F16" s="670">
        <v>687.01440652895565</v>
      </c>
      <c r="G16" s="670">
        <v>687.01440652895565</v>
      </c>
      <c r="H16" s="649">
        <f>('3A1 Fermentación E.'!F25+'3A1 Fermentación E.'!F26+'3A1 Fermentación E.'!F27+'3A1 Fermentación E.'!F28+'3A1 Fermentación E.'!F29+'3A1 Fermentación E.'!F30+'3A1 Fermentación E.'!F31)*(RESULTADOS!$E$57)</f>
        <v>304.50301987705376</v>
      </c>
      <c r="I16" s="649">
        <f t="shared" si="0"/>
        <v>304.50301987705376</v>
      </c>
      <c r="J16" s="646"/>
      <c r="K16" s="612"/>
    </row>
    <row r="17" spans="1:11" ht="16.5">
      <c r="A17">
        <v>6</v>
      </c>
      <c r="B17" s="650" t="s">
        <v>110</v>
      </c>
      <c r="C17" s="651" t="s">
        <v>315</v>
      </c>
      <c r="D17" s="652" t="s">
        <v>922</v>
      </c>
      <c r="E17" s="653" t="s">
        <v>84</v>
      </c>
      <c r="F17" s="670">
        <v>30.636483017911591</v>
      </c>
      <c r="G17" s="670">
        <v>30.636483017911591</v>
      </c>
      <c r="H17" s="654" t="e">
        <f>'3A1 Fermentación E.'!#REF!*RESULTADOS!$E$57</f>
        <v>#REF!</v>
      </c>
      <c r="I17" s="654" t="e">
        <f t="shared" si="0"/>
        <v>#REF!</v>
      </c>
      <c r="J17" s="653"/>
      <c r="K17" s="612"/>
    </row>
    <row r="18" spans="1:11" ht="31">
      <c r="A18">
        <v>7</v>
      </c>
      <c r="B18" s="650" t="s">
        <v>110</v>
      </c>
      <c r="C18" s="651" t="s">
        <v>315</v>
      </c>
      <c r="D18" s="652" t="s">
        <v>923</v>
      </c>
      <c r="E18" s="653" t="s">
        <v>84</v>
      </c>
      <c r="F18" s="670">
        <v>13.627102028693571</v>
      </c>
      <c r="G18" s="670">
        <v>13.627102028693571</v>
      </c>
      <c r="H18" s="654" t="e">
        <f>'3A1 Fermentación E.'!#REF!*RESULTADOS!$E$57</f>
        <v>#REF!</v>
      </c>
      <c r="I18" s="654" t="e">
        <f t="shared" si="0"/>
        <v>#REF!</v>
      </c>
      <c r="J18" s="653"/>
      <c r="K18" s="612"/>
    </row>
    <row r="19" spans="1:11" ht="31">
      <c r="A19">
        <v>8</v>
      </c>
      <c r="B19" s="650" t="s">
        <v>110</v>
      </c>
      <c r="C19" s="651" t="s">
        <v>315</v>
      </c>
      <c r="D19" s="652" t="s">
        <v>924</v>
      </c>
      <c r="E19" s="653" t="s">
        <v>84</v>
      </c>
      <c r="F19" s="670">
        <v>21.112469424191435</v>
      </c>
      <c r="G19" s="670">
        <v>21.112469424191435</v>
      </c>
      <c r="H19" s="654" t="e">
        <f>'3A1 Fermentación E.'!#REF!*RESULTADOS!$E$57</f>
        <v>#REF!</v>
      </c>
      <c r="I19" s="654" t="e">
        <f t="shared" si="0"/>
        <v>#REF!</v>
      </c>
      <c r="J19" s="653"/>
      <c r="K19" s="612"/>
    </row>
    <row r="20" spans="1:11" ht="31">
      <c r="A20">
        <v>9</v>
      </c>
      <c r="B20" s="650" t="s">
        <v>110</v>
      </c>
      <c r="C20" s="651" t="s">
        <v>315</v>
      </c>
      <c r="D20" s="652" t="s">
        <v>925</v>
      </c>
      <c r="E20" s="653" t="s">
        <v>84</v>
      </c>
      <c r="F20" s="670">
        <v>61.852590300751878</v>
      </c>
      <c r="G20" s="670">
        <v>61.852590300751878</v>
      </c>
      <c r="H20" s="654" t="e">
        <f>'3A1 Fermentación E.'!#REF!*RESULTADOS!$E$57</f>
        <v>#REF!</v>
      </c>
      <c r="I20" s="654" t="e">
        <f t="shared" si="0"/>
        <v>#REF!</v>
      </c>
      <c r="J20" s="653"/>
      <c r="K20" s="612"/>
    </row>
    <row r="21" spans="1:11" ht="31">
      <c r="A21">
        <v>10</v>
      </c>
      <c r="B21" s="650" t="s">
        <v>110</v>
      </c>
      <c r="C21" s="651" t="s">
        <v>315</v>
      </c>
      <c r="D21" s="652" t="s">
        <v>926</v>
      </c>
      <c r="E21" s="653" t="s">
        <v>84</v>
      </c>
      <c r="F21" s="670">
        <v>146.75809046157423</v>
      </c>
      <c r="G21" s="670">
        <v>146.75809046157423</v>
      </c>
      <c r="H21" s="654" t="e">
        <f>('3A1 Fermentación E.'!#REF!+'3A1 Fermentación E.'!#REF!+'3A1 Fermentación E.'!#REF!+'3A1 Fermentación E.'!#REF!+'3A1 Fermentación E.'!#REF!+'3A1 Fermentación E.'!#REF!+'3A1 Fermentación E.'!#REF!+'3A1 Fermentación E.'!#REF!+'3A1 Fermentación E.'!#REF!+'3A1 Fermentación E.'!#REF!+'3A1 Fermentación E.'!#REF!)*RESULTADOS!$E$57</f>
        <v>#REF!</v>
      </c>
      <c r="I21" s="654" t="e">
        <f t="shared" si="0"/>
        <v>#REF!</v>
      </c>
      <c r="J21" s="653"/>
      <c r="K21" s="612"/>
    </row>
    <row r="22" spans="1:11" ht="31">
      <c r="A22">
        <v>11</v>
      </c>
      <c r="B22" s="644" t="s">
        <v>110</v>
      </c>
      <c r="C22" s="657" t="s">
        <v>315</v>
      </c>
      <c r="D22" s="655" t="s">
        <v>927</v>
      </c>
      <c r="E22" s="658" t="s">
        <v>85</v>
      </c>
      <c r="F22" s="670">
        <v>3.1429009643699155</v>
      </c>
      <c r="G22" s="670">
        <v>3.1429009643699155</v>
      </c>
      <c r="H22" s="659">
        <f>('3B Gestión Estiércol N2O Dir'!U15*RESULTADOS!$E$58)/1000000</f>
        <v>22.54370458892814</v>
      </c>
      <c r="I22" s="659">
        <f t="shared" si="0"/>
        <v>22.54370458892814</v>
      </c>
      <c r="J22" s="646"/>
      <c r="K22" s="612"/>
    </row>
    <row r="23" spans="1:11" ht="31">
      <c r="A23">
        <v>12</v>
      </c>
      <c r="B23" s="644" t="s">
        <v>110</v>
      </c>
      <c r="C23" s="657" t="s">
        <v>315</v>
      </c>
      <c r="D23" s="655" t="s">
        <v>928</v>
      </c>
      <c r="E23" s="658" t="s">
        <v>85</v>
      </c>
      <c r="F23" s="670">
        <v>0</v>
      </c>
      <c r="G23" s="670">
        <v>0</v>
      </c>
      <c r="H23" s="659">
        <f>('3B Gestión Estiércol N2O Dir'!U18*RESULTADOS!$E$58)/1000000</f>
        <v>1.6750437808379313</v>
      </c>
      <c r="I23" s="659">
        <f t="shared" si="0"/>
        <v>1.6750437808379313</v>
      </c>
      <c r="J23" s="646"/>
      <c r="K23" s="612"/>
    </row>
    <row r="24" spans="1:11" ht="31">
      <c r="A24">
        <v>13</v>
      </c>
      <c r="B24" s="644" t="s">
        <v>110</v>
      </c>
      <c r="C24" s="657" t="s">
        <v>315</v>
      </c>
      <c r="D24" s="655" t="s">
        <v>929</v>
      </c>
      <c r="E24" s="658" t="s">
        <v>85</v>
      </c>
      <c r="F24" s="670">
        <v>3.1698238912656724</v>
      </c>
      <c r="G24" s="670">
        <v>3.1698238912656724</v>
      </c>
      <c r="H24" s="659">
        <f>('3B Gestión Estiércol N2O Dir'!U21*RESULTADOS!$E$58)/1000000</f>
        <v>1.9992401009197049</v>
      </c>
      <c r="I24" s="659">
        <f t="shared" si="0"/>
        <v>1.9992401009197049</v>
      </c>
      <c r="J24" s="646"/>
      <c r="K24" s="612"/>
    </row>
    <row r="25" spans="1:11" ht="31">
      <c r="A25">
        <v>14</v>
      </c>
      <c r="B25" s="644" t="s">
        <v>110</v>
      </c>
      <c r="C25" s="657" t="s">
        <v>315</v>
      </c>
      <c r="D25" s="655" t="s">
        <v>930</v>
      </c>
      <c r="E25" s="658" t="s">
        <v>85</v>
      </c>
      <c r="F25" s="670">
        <v>9.2865412630194708</v>
      </c>
      <c r="G25" s="670">
        <v>9.2865412630194708</v>
      </c>
      <c r="H25" s="659">
        <f>('3B Gestión Estiércol N2O Dir'!U24*RESULTADOS!$E$58)/1000000</f>
        <v>3.640984858353685</v>
      </c>
      <c r="I25" s="659">
        <f t="shared" si="0"/>
        <v>3.640984858353685</v>
      </c>
      <c r="J25" s="646"/>
      <c r="K25" s="612"/>
    </row>
    <row r="26" spans="1:11" ht="31">
      <c r="A26">
        <v>15</v>
      </c>
      <c r="B26" s="644" t="s">
        <v>110</v>
      </c>
      <c r="C26" s="657" t="s">
        <v>315</v>
      </c>
      <c r="D26" s="655" t="s">
        <v>931</v>
      </c>
      <c r="E26" s="658" t="s">
        <v>85</v>
      </c>
      <c r="F26" s="670">
        <v>179.39553696291244</v>
      </c>
      <c r="G26" s="670">
        <v>179.39553696291244</v>
      </c>
      <c r="H26" s="659">
        <f>(('3B Gestión Estiércol N2O Dir'!U27+'3B Gestión Estiércol N2O Dir'!U28+'3B Gestión Estiércol N2O Dir'!U29+'3B Gestión Estiércol N2O Dir'!U30+'3B Gestión Estiércol N2O Dir'!U31+'3B Gestión Estiércol N2O Dir'!U32+'3B Gestión Estiércol N2O Dir'!U33+'3B Gestión Estiércol N2O Dir'!U34+'3B Gestión Estiércol N2O Dir'!U35+'3B Gestión Estiércol N2O Dir'!U36+'3B Gestión Estiércol N2O Dir'!U37)*RESULTADOS!$E$58)/1000000</f>
        <v>241.24169320774283</v>
      </c>
      <c r="I26" s="659">
        <f t="shared" si="0"/>
        <v>241.24169320774283</v>
      </c>
      <c r="J26" s="646"/>
      <c r="K26" s="612"/>
    </row>
    <row r="27" spans="1:11" ht="31">
      <c r="A27">
        <v>16</v>
      </c>
      <c r="B27" s="665" t="s">
        <v>127</v>
      </c>
      <c r="C27" s="660" t="s">
        <v>315</v>
      </c>
      <c r="D27" s="661" t="s">
        <v>933</v>
      </c>
      <c r="E27" s="662" t="s">
        <v>85</v>
      </c>
      <c r="F27" s="670">
        <v>15.840220860424377</v>
      </c>
      <c r="G27" s="670">
        <v>15.840220860424377</v>
      </c>
      <c r="H27" s="663" t="e">
        <f>(#REF!*RESULTADOS!$E$58)/1000000</f>
        <v>#REF!</v>
      </c>
      <c r="I27" s="663" t="e">
        <f t="shared" si="0"/>
        <v>#REF!</v>
      </c>
      <c r="J27" s="646"/>
      <c r="K27" s="612"/>
    </row>
    <row r="28" spans="1:11" ht="31">
      <c r="A28">
        <v>17</v>
      </c>
      <c r="B28" s="665" t="s">
        <v>127</v>
      </c>
      <c r="C28" s="660" t="s">
        <v>315</v>
      </c>
      <c r="D28" s="661" t="s">
        <v>934</v>
      </c>
      <c r="E28" s="662" t="s">
        <v>85</v>
      </c>
      <c r="F28" s="670">
        <v>0.53664829761257671</v>
      </c>
      <c r="G28" s="670">
        <v>0.53664829761257671</v>
      </c>
      <c r="H28" s="663" t="e">
        <f>(#REF!*RESULTADOS!$E$58)/1000000</f>
        <v>#REF!</v>
      </c>
      <c r="I28" s="663" t="e">
        <f t="shared" si="0"/>
        <v>#REF!</v>
      </c>
      <c r="J28" s="646"/>
      <c r="K28" s="612"/>
    </row>
    <row r="29" spans="1:11" ht="31">
      <c r="A29">
        <v>18</v>
      </c>
      <c r="B29" s="665" t="s">
        <v>127</v>
      </c>
      <c r="C29" s="660" t="s">
        <v>315</v>
      </c>
      <c r="D29" s="661" t="s">
        <v>935</v>
      </c>
      <c r="E29" s="662" t="s">
        <v>85</v>
      </c>
      <c r="F29" s="670">
        <v>0.47547358368985093</v>
      </c>
      <c r="G29" s="670">
        <v>0.47547358368985093</v>
      </c>
      <c r="H29" s="663" t="e">
        <f>(#REF!*RESULTADOS!$E$58)/1000000</f>
        <v>#REF!</v>
      </c>
      <c r="I29" s="663" t="e">
        <f t="shared" si="0"/>
        <v>#REF!</v>
      </c>
      <c r="J29" s="646"/>
      <c r="K29" s="612"/>
    </row>
    <row r="30" spans="1:11" ht="31">
      <c r="A30">
        <v>19</v>
      </c>
      <c r="B30" s="665" t="s">
        <v>127</v>
      </c>
      <c r="C30" s="660" t="s">
        <v>315</v>
      </c>
      <c r="D30" s="661" t="s">
        <v>936</v>
      </c>
      <c r="E30" s="662" t="s">
        <v>85</v>
      </c>
      <c r="F30" s="670">
        <v>1.3929811894529205</v>
      </c>
      <c r="G30" s="670">
        <v>1.3929811894529205</v>
      </c>
      <c r="H30" s="663" t="e">
        <f>(#REF!*RESULTADOS!$E$58)/1000000</f>
        <v>#REF!</v>
      </c>
      <c r="I30" s="663" t="e">
        <f t="shared" si="0"/>
        <v>#REF!</v>
      </c>
      <c r="J30" s="646"/>
      <c r="K30" s="612"/>
    </row>
    <row r="31" spans="1:11" ht="31">
      <c r="A31">
        <v>20</v>
      </c>
      <c r="B31" s="665" t="s">
        <v>127</v>
      </c>
      <c r="C31" s="660" t="s">
        <v>315</v>
      </c>
      <c r="D31" s="661" t="s">
        <v>937</v>
      </c>
      <c r="E31" s="662" t="s">
        <v>85</v>
      </c>
      <c r="F31" s="670">
        <v>27.372066485314367</v>
      </c>
      <c r="G31" s="670">
        <v>27.372066485314367</v>
      </c>
      <c r="H31" s="664" t="e">
        <f>((#REF!+#REF!+#REF!+#REF!+#REF!+#REF!+#REF!+#REF!+#REF!+#REF!+#REF!)*RESULTADOS!$E$58)/1000000</f>
        <v>#REF!</v>
      </c>
      <c r="I31" s="663" t="e">
        <f t="shared" si="0"/>
        <v>#REF!</v>
      </c>
      <c r="J31" s="646"/>
      <c r="K31" s="612"/>
    </row>
    <row r="32" spans="1:11" ht="16.5">
      <c r="A32">
        <v>21</v>
      </c>
      <c r="B32" s="644" t="s">
        <v>202</v>
      </c>
      <c r="C32" s="589" t="s">
        <v>315</v>
      </c>
      <c r="D32" s="655" t="s">
        <v>938</v>
      </c>
      <c r="E32" s="646" t="s">
        <v>84</v>
      </c>
      <c r="F32" s="670">
        <v>666.25122810369021</v>
      </c>
      <c r="G32" s="670">
        <v>666.25122810369021</v>
      </c>
      <c r="H32" s="667">
        <f>RESULTADOS!N14</f>
        <v>1056.5535555512622</v>
      </c>
      <c r="I32" s="666">
        <f t="shared" si="0"/>
        <v>1056.5535555512622</v>
      </c>
      <c r="J32" s="646"/>
      <c r="K32" s="612"/>
    </row>
    <row r="33" spans="1:11" ht="31">
      <c r="A33">
        <v>22</v>
      </c>
      <c r="B33" s="644" t="s">
        <v>129</v>
      </c>
      <c r="C33" s="589" t="s">
        <v>315</v>
      </c>
      <c r="D33" s="655" t="s">
        <v>939</v>
      </c>
      <c r="E33" s="646" t="s">
        <v>85</v>
      </c>
      <c r="F33" s="670">
        <v>273.52929668373127</v>
      </c>
      <c r="G33" s="670">
        <v>273.52929668373127</v>
      </c>
      <c r="H33" s="647">
        <f>(('3C4 Suelos Agricolas N2O Direct'!I14+'3C4 Suelos Agricolas N2O Direct'!I18)/1000000)*RESULTADOS!$E$58*(44/28)</f>
        <v>795.11499398332921</v>
      </c>
      <c r="I33" s="647">
        <f t="shared" si="0"/>
        <v>795.11499398332921</v>
      </c>
      <c r="J33" s="646"/>
      <c r="K33" s="612"/>
    </row>
    <row r="34" spans="1:11" ht="24" customHeight="1">
      <c r="A34">
        <v>23</v>
      </c>
      <c r="B34" s="644" t="s">
        <v>129</v>
      </c>
      <c r="C34" s="589" t="s">
        <v>315</v>
      </c>
      <c r="D34" s="655" t="s">
        <v>940</v>
      </c>
      <c r="E34" s="646" t="s">
        <v>85</v>
      </c>
      <c r="F34" s="670">
        <v>2845.0035367016444</v>
      </c>
      <c r="G34" s="670">
        <v>2845.0035367016444</v>
      </c>
      <c r="H34" s="647">
        <f>(('3C4 Suelos Agricolas N2O Direct'!I15+'3C4 Suelos Agricolas N2O Direct'!I19)/1000000)*RESULTADOS!$E$58*(44/28)</f>
        <v>132.33896300747745</v>
      </c>
      <c r="I34" s="647">
        <f t="shared" si="0"/>
        <v>132.33896300747745</v>
      </c>
      <c r="J34" s="646"/>
      <c r="K34" s="612"/>
    </row>
    <row r="35" spans="1:11" ht="25.5" customHeight="1">
      <c r="A35">
        <v>24</v>
      </c>
      <c r="B35" s="644" t="s">
        <v>129</v>
      </c>
      <c r="C35" s="589" t="s">
        <v>315</v>
      </c>
      <c r="D35" s="655" t="s">
        <v>941</v>
      </c>
      <c r="E35" s="646" t="s">
        <v>85</v>
      </c>
      <c r="F35" s="670">
        <v>342.99232075273164</v>
      </c>
      <c r="G35" s="670">
        <v>342.99232075273164</v>
      </c>
      <c r="H35" s="647">
        <f>(('3C4 Suelos Agricolas N2O Direct'!I16+'3C4 Suelos Agricolas N2O Direct'!I20)/1000000)*RESULTADOS!$E$58*(44/28)</f>
        <v>401.10512625950338</v>
      </c>
      <c r="I35" s="647">
        <f t="shared" si="0"/>
        <v>401.10512625950338</v>
      </c>
      <c r="J35" s="646"/>
      <c r="K35" s="612"/>
    </row>
    <row r="36" spans="1:11" ht="31">
      <c r="A36">
        <v>25</v>
      </c>
      <c r="B36" s="644" t="s">
        <v>129</v>
      </c>
      <c r="C36" s="589" t="s">
        <v>315</v>
      </c>
      <c r="D36" s="655" t="s">
        <v>942</v>
      </c>
      <c r="E36" s="646" t="s">
        <v>85</v>
      </c>
      <c r="F36" s="670">
        <v>2088.9680112811516</v>
      </c>
      <c r="G36" s="670">
        <v>2088.9680112811516</v>
      </c>
      <c r="H36" s="648">
        <f>RESULTADOS!D45*RESULTADOS!E58+(44/28)</f>
        <v>242.71204412769382</v>
      </c>
      <c r="I36" s="648">
        <f t="shared" si="0"/>
        <v>242.71204412769382</v>
      </c>
      <c r="J36" s="646"/>
      <c r="K36" s="612"/>
    </row>
    <row r="37" spans="1:11" ht="16.5">
      <c r="A37">
        <v>26</v>
      </c>
      <c r="B37" s="644" t="s">
        <v>161</v>
      </c>
      <c r="C37" s="589" t="s">
        <v>315</v>
      </c>
      <c r="D37" s="645" t="s">
        <v>943</v>
      </c>
      <c r="E37" s="646" t="s">
        <v>85</v>
      </c>
      <c r="F37" s="670">
        <v>833.0392719931898</v>
      </c>
      <c r="G37" s="670">
        <v>833.0392719931898</v>
      </c>
      <c r="H37" s="648">
        <f>RESULTADOS!D46*RESULTADOS!E58</f>
        <v>241.95147194348121</v>
      </c>
      <c r="I37" s="648">
        <f t="shared" si="0"/>
        <v>241.95147194348121</v>
      </c>
      <c r="J37" s="646"/>
      <c r="K37" s="612"/>
    </row>
    <row r="38" spans="1:11" ht="16.5">
      <c r="A38">
        <v>27</v>
      </c>
      <c r="B38" s="644" t="s">
        <v>161</v>
      </c>
      <c r="C38" s="589" t="s">
        <v>315</v>
      </c>
      <c r="D38" s="645" t="s">
        <v>944</v>
      </c>
      <c r="E38" s="646" t="s">
        <v>85</v>
      </c>
      <c r="F38" s="670">
        <v>1058.0177613625169</v>
      </c>
      <c r="G38" s="670">
        <v>1058.0177613625169</v>
      </c>
      <c r="H38" s="648">
        <f>RESULTADOS!D47*RESULTADOS!E58</f>
        <v>524.95558067329853</v>
      </c>
      <c r="I38" s="648">
        <f t="shared" si="0"/>
        <v>524.95558067329853</v>
      </c>
      <c r="J38" s="646"/>
      <c r="K38" s="612"/>
    </row>
    <row r="39" spans="1:11" ht="16.5">
      <c r="A39">
        <v>28</v>
      </c>
      <c r="B39" s="644" t="s">
        <v>259</v>
      </c>
      <c r="C39" s="589" t="s">
        <v>315</v>
      </c>
      <c r="D39" s="645" t="s">
        <v>945</v>
      </c>
      <c r="E39" s="646" t="s">
        <v>83</v>
      </c>
      <c r="F39" s="670">
        <v>11.816895931157225</v>
      </c>
      <c r="G39" s="670">
        <v>11.816895931157225</v>
      </c>
      <c r="H39" s="666">
        <f>RESULTADOS!F49</f>
        <v>21.429287431628282</v>
      </c>
      <c r="I39" s="666">
        <f t="shared" si="0"/>
        <v>21.429287431628282</v>
      </c>
      <c r="J39" s="646"/>
      <c r="K39" s="612"/>
    </row>
    <row r="40" spans="1:11" ht="16.5">
      <c r="A40">
        <v>29</v>
      </c>
      <c r="B40" s="644" t="s">
        <v>104</v>
      </c>
      <c r="C40" s="589" t="s">
        <v>315</v>
      </c>
      <c r="D40" s="645" t="s">
        <v>854</v>
      </c>
      <c r="E40" s="646" t="s">
        <v>83</v>
      </c>
      <c r="F40" s="670">
        <v>97.782993733333342</v>
      </c>
      <c r="G40" s="670">
        <v>97.782993733333342</v>
      </c>
      <c r="H40" s="666">
        <f>RESULTADOS!N11</f>
        <v>208.83837333333335</v>
      </c>
      <c r="I40" s="666">
        <f t="shared" si="0"/>
        <v>208.83837333333335</v>
      </c>
      <c r="J40" s="646"/>
      <c r="K40" s="612"/>
    </row>
    <row r="41" spans="1:11" ht="16.5">
      <c r="B41" s="644"/>
      <c r="C41" s="589"/>
      <c r="D41" s="645"/>
      <c r="E41" s="646"/>
      <c r="F41" s="646"/>
      <c r="G41" s="646"/>
      <c r="H41" s="646"/>
      <c r="I41" s="646"/>
      <c r="J41" s="646"/>
      <c r="K41" s="612"/>
    </row>
    <row r="42" spans="1:11" ht="19.5">
      <c r="B42" s="644"/>
      <c r="C42" s="589"/>
      <c r="D42" s="645"/>
      <c r="E42" s="646"/>
      <c r="F42" s="646"/>
      <c r="G42" s="646"/>
      <c r="H42" s="668" t="e">
        <f>SUM(H12:H41)</f>
        <v>#REF!</v>
      </c>
      <c r="I42" s="668" t="e">
        <f>SUM(I12:I41)</f>
        <v>#REF!</v>
      </c>
      <c r="J42" s="646"/>
      <c r="K42" s="612"/>
    </row>
    <row r="43" spans="1:11" ht="16.5">
      <c r="B43" s="644"/>
      <c r="C43" s="589"/>
      <c r="D43" s="645"/>
      <c r="E43" s="646"/>
      <c r="F43" s="646"/>
      <c r="G43" s="646"/>
      <c r="H43" s="646"/>
      <c r="I43" s="646"/>
      <c r="J43" s="646"/>
      <c r="K43" s="612"/>
    </row>
    <row r="44" spans="1:11" ht="16.5">
      <c r="B44" s="644"/>
      <c r="C44" s="589"/>
      <c r="D44" s="645"/>
      <c r="E44" s="646"/>
      <c r="F44" s="646"/>
      <c r="G44" s="646"/>
      <c r="H44" s="646"/>
      <c r="I44" s="646"/>
      <c r="J44" s="646"/>
      <c r="K44" s="612"/>
    </row>
    <row r="45" spans="1:11" ht="16.5">
      <c r="B45" s="644"/>
      <c r="C45" s="589"/>
      <c r="D45" s="645"/>
      <c r="E45" s="646"/>
      <c r="F45" s="646"/>
      <c r="G45" s="646"/>
      <c r="H45" s="646"/>
      <c r="I45" s="646"/>
      <c r="J45" s="646"/>
      <c r="K45" s="612"/>
    </row>
    <row r="46" spans="1:11" ht="16.5">
      <c r="B46" s="644"/>
      <c r="C46" s="589"/>
      <c r="D46" s="645"/>
      <c r="E46" s="646"/>
      <c r="F46" s="646"/>
      <c r="G46" s="646"/>
      <c r="H46" s="646"/>
      <c r="I46" s="646"/>
      <c r="J46" s="646"/>
      <c r="K46" s="612"/>
    </row>
    <row r="47" spans="1:11" ht="16.5">
      <c r="B47" s="644"/>
      <c r="C47" s="589"/>
      <c r="D47" s="645"/>
      <c r="E47" s="646"/>
      <c r="F47" s="646"/>
      <c r="G47" s="646"/>
      <c r="H47" s="646"/>
      <c r="I47" s="646"/>
      <c r="J47" s="646"/>
      <c r="K47" s="612"/>
    </row>
    <row r="48" spans="1:11" ht="16.5">
      <c r="B48" s="644"/>
      <c r="C48" s="589"/>
      <c r="D48" s="645"/>
      <c r="E48" s="646"/>
      <c r="F48" s="646"/>
      <c r="G48" s="646"/>
      <c r="H48" s="646"/>
      <c r="I48" s="646"/>
      <c r="J48" s="646"/>
      <c r="K48" s="612"/>
    </row>
    <row r="49" spans="2:14" ht="16.5">
      <c r="B49" s="583"/>
      <c r="C49" s="589" t="s">
        <v>315</v>
      </c>
      <c r="D49" s="584" t="str">
        <f>RESULTADOS!L6</f>
        <v>Emisiones de CH4 por fermentación entérica en el ganado doméstico</v>
      </c>
      <c r="E49" s="585" t="s">
        <v>84</v>
      </c>
      <c r="F49" s="617" t="s">
        <v>850</v>
      </c>
      <c r="G49" s="617" t="s">
        <v>850</v>
      </c>
      <c r="H49" s="586">
        <f>RESULTADOS!N6</f>
        <v>7891.6240362016451</v>
      </c>
      <c r="I49" s="587">
        <f t="shared" ref="I49:I55" si="1">ABS(H49)</f>
        <v>7891.6240362016451</v>
      </c>
      <c r="J49" s="587">
        <f>IFERROR(I49/$I$58,"faltan datos")</f>
        <v>0.75160427088659743</v>
      </c>
      <c r="K49" s="588">
        <f>J49</f>
        <v>0.75160427088659743</v>
      </c>
    </row>
    <row r="50" spans="2:14" ht="16.5">
      <c r="B50" s="583"/>
      <c r="C50" s="589" t="s">
        <v>315</v>
      </c>
      <c r="D50" s="584" t="str">
        <f>RESULTADOS!L7</f>
        <v>Emisiones de CH4 del gestión de estiércol</v>
      </c>
      <c r="E50" s="585" t="s">
        <v>85</v>
      </c>
      <c r="F50" s="617" t="s">
        <v>850</v>
      </c>
      <c r="G50" s="617" t="s">
        <v>850</v>
      </c>
      <c r="H50" s="586">
        <f>RESULTADOS!N7</f>
        <v>443.09104086412026</v>
      </c>
      <c r="I50" s="587">
        <f t="shared" si="1"/>
        <v>443.09104086412026</v>
      </c>
      <c r="J50" s="587">
        <f t="shared" ref="J50:J55" si="2">IFERROR(I50/$I$58,"faltan datos")</f>
        <v>4.2200327483587582E-2</v>
      </c>
      <c r="K50" s="588">
        <f>J49+J50</f>
        <v>0.79380459837018502</v>
      </c>
    </row>
    <row r="51" spans="2:14" ht="16.5">
      <c r="B51" s="583"/>
      <c r="C51" s="589" t="s">
        <v>315</v>
      </c>
      <c r="D51" s="584" t="str">
        <f>RESULTADOS!L8</f>
        <v>N2O Emisiones directas de la gestión de estiércol</v>
      </c>
      <c r="E51" s="585" t="s">
        <v>84</v>
      </c>
      <c r="F51" s="617" t="s">
        <v>850</v>
      </c>
      <c r="G51" s="617" t="s">
        <v>850</v>
      </c>
      <c r="H51" s="586">
        <f>RESULTADOS!N8</f>
        <v>271.80578573792371</v>
      </c>
      <c r="I51" s="587">
        <f t="shared" si="1"/>
        <v>271.80578573792371</v>
      </c>
      <c r="J51" s="587">
        <f t="shared" si="2"/>
        <v>2.5886989607609188E-2</v>
      </c>
      <c r="K51" s="588">
        <f>J49+J50+J51</f>
        <v>0.81969158797779418</v>
      </c>
    </row>
    <row r="52" spans="2:14" ht="16.5">
      <c r="B52" s="583"/>
      <c r="C52" s="589" t="s">
        <v>315</v>
      </c>
      <c r="D52" s="584" t="str">
        <f>RESULTADOS!L9</f>
        <v>N2O Emisiones indirectas de la gestión de estiércol</v>
      </c>
      <c r="E52" s="585" t="s">
        <v>84</v>
      </c>
      <c r="F52" s="617" t="s">
        <v>850</v>
      </c>
      <c r="G52" s="617" t="s">
        <v>850</v>
      </c>
      <c r="H52" s="586">
        <f>RESULTADOS!N9</f>
        <v>93.217995223341987</v>
      </c>
      <c r="I52" s="587">
        <f t="shared" si="1"/>
        <v>93.217995223341987</v>
      </c>
      <c r="J52" s="587">
        <f t="shared" si="2"/>
        <v>8.8781527112729314E-3</v>
      </c>
      <c r="K52" s="588">
        <f>K51+J52</f>
        <v>0.82856974068906708</v>
      </c>
    </row>
    <row r="53" spans="2:14" ht="16.5">
      <c r="B53" s="583"/>
      <c r="C53" s="589" t="s">
        <v>315</v>
      </c>
      <c r="D53" s="584" t="str">
        <f>RESULTADOS!L10</f>
        <v>Encalado: Emisiones anuales de CO2-C de Encalado</v>
      </c>
      <c r="E53" s="585" t="s">
        <v>83</v>
      </c>
      <c r="F53" s="617" t="s">
        <v>850</v>
      </c>
      <c r="G53" s="617" t="s">
        <v>850</v>
      </c>
      <c r="H53" s="586">
        <f>RESULTADOS!N10</f>
        <v>21.429287431628282</v>
      </c>
      <c r="I53" s="587">
        <f t="shared" si="1"/>
        <v>21.429287431628282</v>
      </c>
      <c r="J53" s="587">
        <f t="shared" si="2"/>
        <v>2.0409416213675226E-3</v>
      </c>
      <c r="K53" s="588">
        <f>K52+J53</f>
        <v>0.83061068231043456</v>
      </c>
    </row>
    <row r="54" spans="2:14" ht="16.5">
      <c r="B54" s="583"/>
      <c r="C54" s="589" t="s">
        <v>315</v>
      </c>
      <c r="D54" s="584" t="str">
        <f>RESULTADOS!L11</f>
        <v>Fertilización de urea: Emisiones anuales de CO2</v>
      </c>
      <c r="E54" s="585" t="s">
        <v>85</v>
      </c>
      <c r="F54" s="617" t="s">
        <v>850</v>
      </c>
      <c r="G54" s="617" t="s">
        <v>850</v>
      </c>
      <c r="H54" s="586">
        <f>RESULTADOS!N11</f>
        <v>208.83837333333335</v>
      </c>
      <c r="I54" s="587">
        <f t="shared" si="1"/>
        <v>208.83837333333335</v>
      </c>
      <c r="J54" s="587">
        <f t="shared" si="2"/>
        <v>1.9889925394607627E-2</v>
      </c>
      <c r="K54" s="588">
        <f>K53+J54</f>
        <v>0.85050060770504221</v>
      </c>
    </row>
    <row r="55" spans="2:14" ht="16.5">
      <c r="B55" s="583"/>
      <c r="C55" s="589" t="s">
        <v>315</v>
      </c>
      <c r="D55" s="584" t="str">
        <f>RESULTADOS!L12</f>
        <v>N2O Emisiones Directas de Suelos Agrícolas</v>
      </c>
      <c r="E55" s="585" t="s">
        <v>83</v>
      </c>
      <c r="F55" s="617" t="s">
        <v>850</v>
      </c>
      <c r="G55" s="617" t="s">
        <v>850</v>
      </c>
      <c r="H55" s="586">
        <f>RESULTADOS!N12</f>
        <v>1569.699698806575</v>
      </c>
      <c r="I55" s="587">
        <f t="shared" si="1"/>
        <v>1569.699698806575</v>
      </c>
      <c r="J55" s="587">
        <f t="shared" si="2"/>
        <v>0.14949939229495771</v>
      </c>
      <c r="K55" s="588">
        <f>K54+J55</f>
        <v>0.99999999999999989</v>
      </c>
    </row>
    <row r="56" spans="2:14" ht="16.5">
      <c r="B56" s="590"/>
      <c r="C56" s="589" t="s">
        <v>315</v>
      </c>
      <c r="D56" s="584" t="str">
        <f>RESULTADOS!L13</f>
        <v>N2O Emisiones Indirectas de Suelos Agrícolas</v>
      </c>
      <c r="E56" s="585" t="s">
        <v>946</v>
      </c>
      <c r="F56" s="617" t="s">
        <v>850</v>
      </c>
      <c r="G56" s="617" t="s">
        <v>850</v>
      </c>
      <c r="H56" s="586">
        <f>RESULTADOS!N13</f>
        <v>766.90705261677965</v>
      </c>
      <c r="I56" s="587">
        <f>ABS(H56)</f>
        <v>766.90705261677965</v>
      </c>
      <c r="J56" s="587">
        <f>IFERROR(I56/$I$58,"faltan datos")</f>
        <v>7.3040810544905146E-2</v>
      </c>
      <c r="K56" s="588">
        <f>K55+J56</f>
        <v>1.073040810544905</v>
      </c>
    </row>
    <row r="57" spans="2:14" ht="16.5">
      <c r="B57" s="590"/>
      <c r="C57" s="591"/>
      <c r="D57" s="592"/>
      <c r="E57" s="593"/>
      <c r="F57" s="593"/>
      <c r="G57" s="593"/>
      <c r="H57" s="594"/>
      <c r="I57" s="594"/>
      <c r="J57" s="594"/>
      <c r="K57" s="594"/>
    </row>
    <row r="58" spans="2:14" ht="17">
      <c r="B58" s="571"/>
      <c r="C58" s="595"/>
      <c r="D58" s="596" t="s">
        <v>851</v>
      </c>
      <c r="E58" s="597"/>
      <c r="F58" s="598">
        <f>SUM(F49:F55)</f>
        <v>0</v>
      </c>
      <c r="G58" s="598">
        <f>SUM(G49:G55)</f>
        <v>0</v>
      </c>
      <c r="H58" s="598">
        <f>SUM(H49:H55)</f>
        <v>10499.706217598568</v>
      </c>
      <c r="I58" s="598">
        <f>SUM(I49:I55)</f>
        <v>10499.706217598568</v>
      </c>
      <c r="J58" s="598">
        <f>SUM(J49:J55)</f>
        <v>0.99999999999999989</v>
      </c>
      <c r="K58" s="599"/>
      <c r="L58"/>
      <c r="M58"/>
      <c r="N58"/>
    </row>
    <row r="59" spans="2:14" ht="16.5">
      <c r="B59" s="571"/>
      <c r="C59" s="600"/>
      <c r="D59" s="600"/>
      <c r="E59" s="600"/>
      <c r="F59" s="600"/>
      <c r="G59" s="600"/>
      <c r="H59" s="601"/>
      <c r="I59" s="601"/>
      <c r="J59" s="604"/>
      <c r="K59" s="600"/>
      <c r="L59"/>
      <c r="M59"/>
      <c r="N59"/>
    </row>
    <row r="60" spans="2:14">
      <c r="B60" s="571"/>
      <c r="C60" s="571"/>
      <c r="D60" s="571"/>
      <c r="E60" s="571"/>
      <c r="F60" s="571"/>
      <c r="G60" s="571"/>
      <c r="H60" s="572"/>
      <c r="I60" s="572"/>
      <c r="J60" s="571"/>
      <c r="K60" s="571"/>
      <c r="L60"/>
      <c r="M60"/>
      <c r="N60"/>
    </row>
    <row r="61" spans="2:14">
      <c r="B61" s="571"/>
      <c r="C61" s="571"/>
      <c r="D61" s="571"/>
      <c r="E61" s="571"/>
      <c r="F61" s="571"/>
      <c r="G61" s="571"/>
      <c r="H61" s="572"/>
      <c r="I61" s="572"/>
      <c r="J61" s="571"/>
      <c r="K61" s="571"/>
      <c r="L61"/>
      <c r="M61"/>
      <c r="N61"/>
    </row>
    <row r="62" spans="2:14">
      <c r="B62" s="571"/>
      <c r="C62" s="571"/>
      <c r="D62" s="571"/>
      <c r="E62" s="571"/>
      <c r="F62" s="571"/>
      <c r="G62" s="571"/>
      <c r="H62" s="572"/>
      <c r="I62" s="572"/>
      <c r="J62" s="571"/>
      <c r="K62" s="571"/>
      <c r="L62"/>
      <c r="M62"/>
      <c r="N62"/>
    </row>
    <row r="63" spans="2:14">
      <c r="B63" s="571"/>
      <c r="C63" s="571"/>
      <c r="D63" s="571"/>
      <c r="E63" s="571"/>
      <c r="F63" s="571"/>
      <c r="G63" s="571"/>
      <c r="H63" s="572"/>
      <c r="I63" s="572"/>
      <c r="J63" s="571"/>
      <c r="K63" s="571"/>
      <c r="L63"/>
      <c r="M63"/>
      <c r="N63"/>
    </row>
    <row r="64" spans="2:14">
      <c r="B64" s="571"/>
      <c r="C64" s="571"/>
      <c r="D64" s="571"/>
      <c r="E64" s="571"/>
      <c r="F64" s="571"/>
      <c r="G64" s="571"/>
      <c r="H64" s="572"/>
      <c r="I64" s="572"/>
      <c r="J64" s="571"/>
      <c r="K64" s="571"/>
      <c r="L64"/>
      <c r="M64"/>
      <c r="N64"/>
    </row>
    <row r="65" spans="2:14">
      <c r="B65" s="571"/>
      <c r="C65" s="571"/>
      <c r="D65" s="571"/>
      <c r="E65" s="571"/>
      <c r="F65" s="571"/>
      <c r="G65" s="571"/>
      <c r="H65" s="572"/>
      <c r="I65" s="572"/>
      <c r="J65" s="571"/>
      <c r="K65" s="571"/>
      <c r="L65"/>
      <c r="M65"/>
      <c r="N65"/>
    </row>
    <row r="66" spans="2:14">
      <c r="B66" s="571"/>
      <c r="C66" s="571"/>
      <c r="D66" s="571"/>
      <c r="E66" s="571"/>
      <c r="F66" s="571"/>
      <c r="G66" s="571"/>
      <c r="H66" s="572"/>
      <c r="I66" s="572"/>
      <c r="J66" s="571"/>
      <c r="K66" s="571"/>
      <c r="L66"/>
      <c r="M66"/>
      <c r="N66"/>
    </row>
  </sheetData>
  <autoFilter ref="B11:K11" xr:uid="{00000000-0009-0000-0000-000018000000}">
    <sortState xmlns:xlrd2="http://schemas.microsoft.com/office/spreadsheetml/2017/richdata2" ref="B12:K18">
      <sortCondition descending="1" ref="H11"/>
    </sortState>
  </autoFilter>
  <mergeCells count="6">
    <mergeCell ref="B4:K4"/>
    <mergeCell ref="B5:K5"/>
    <mergeCell ref="B6:K6"/>
    <mergeCell ref="B8:K8"/>
    <mergeCell ref="F9:G9"/>
    <mergeCell ref="H9:I9"/>
  </mergeCells>
  <conditionalFormatting sqref="K11:K56">
    <cfRule type="cellIs" dxfId="13" priority="1" operator="lessThan">
      <formula>0.96</formula>
    </cfRule>
  </conditionalFormatting>
  <hyperlinks>
    <hyperlink ref="I2" location="INDICE!A1" display="INDICE" xr:uid="{00000000-0004-0000-18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B1:AD91"/>
  <sheetViews>
    <sheetView showGridLines="0" tabSelected="1" zoomScale="115" zoomScaleNormal="115" workbookViewId="0">
      <selection activeCell="J4" sqref="J4:N15"/>
    </sheetView>
  </sheetViews>
  <sheetFormatPr defaultColWidth="10.6640625" defaultRowHeight="14"/>
  <cols>
    <col min="2" max="2" width="42.75" customWidth="1"/>
    <col min="3" max="3" width="9.75" customWidth="1"/>
    <col min="4" max="4" width="7.33203125" customWidth="1"/>
    <col min="5" max="5" width="7.58203125" customWidth="1"/>
    <col min="6" max="6" width="6.75" customWidth="1"/>
    <col min="7" max="7" width="9" customWidth="1"/>
    <col min="8" max="8" width="11.9140625" customWidth="1"/>
    <col min="9" max="9" width="9.33203125" customWidth="1"/>
    <col min="10" max="10" width="10.58203125" customWidth="1"/>
    <col min="12" max="12" width="40.83203125" customWidth="1"/>
    <col min="13" max="13" width="11.75" customWidth="1"/>
    <col min="14" max="14" width="14.83203125" customWidth="1"/>
    <col min="15" max="15" width="8.83203125" customWidth="1"/>
    <col min="16" max="17" width="0" hidden="1" customWidth="1"/>
    <col min="18" max="18" width="41.75" hidden="1" customWidth="1"/>
    <col min="19" max="19" width="0" hidden="1" customWidth="1"/>
    <col min="20" max="20" width="14.75" hidden="1" customWidth="1"/>
    <col min="21" max="21" width="3.33203125" customWidth="1"/>
    <col min="22" max="22" width="12.75" hidden="1" customWidth="1"/>
    <col min="23" max="23" width="8.33203125" hidden="1" customWidth="1"/>
    <col min="27" max="27" width="28.58203125" customWidth="1"/>
  </cols>
  <sheetData>
    <row r="1" spans="2:20">
      <c r="C1" s="559"/>
    </row>
    <row r="2" spans="2:20" ht="18">
      <c r="C2" s="606" t="s">
        <v>862</v>
      </c>
      <c r="M2" s="643" t="s">
        <v>898</v>
      </c>
    </row>
    <row r="3" spans="2:20" ht="14.5" thickBot="1"/>
    <row r="4" spans="2:20" ht="75.650000000000006" customHeight="1" thickBot="1">
      <c r="B4" s="733" t="s">
        <v>681</v>
      </c>
      <c r="C4" s="410"/>
      <c r="D4" s="410"/>
      <c r="E4" s="410"/>
      <c r="F4" s="410"/>
      <c r="G4" s="411"/>
      <c r="J4" s="424" t="s">
        <v>679</v>
      </c>
      <c r="K4" s="425" t="s">
        <v>82</v>
      </c>
      <c r="L4" s="426" t="s">
        <v>1161</v>
      </c>
      <c r="M4" s="426" t="s">
        <v>860</v>
      </c>
      <c r="N4" s="2033" t="s">
        <v>2411</v>
      </c>
    </row>
    <row r="5" spans="2:20" ht="36" customHeight="1" thickBot="1">
      <c r="B5" s="412" t="s">
        <v>80</v>
      </c>
      <c r="C5" s="413"/>
      <c r="D5" s="413"/>
      <c r="E5" s="413"/>
      <c r="F5" s="413"/>
      <c r="G5" s="414"/>
      <c r="J5" s="427"/>
      <c r="K5" s="428"/>
      <c r="L5" s="429" t="s">
        <v>1162</v>
      </c>
      <c r="M5" s="429"/>
      <c r="N5" s="2501">
        <f>SUM(N6:N15)</f>
        <v>12377.807188497558</v>
      </c>
      <c r="O5" s="735"/>
      <c r="P5" s="735"/>
      <c r="Q5" s="735"/>
      <c r="R5" s="735"/>
      <c r="S5" s="735"/>
      <c r="T5" s="735"/>
    </row>
    <row r="6" spans="2:20" ht="24.65" customHeight="1" thickBot="1">
      <c r="B6" s="453" t="s">
        <v>1160</v>
      </c>
      <c r="C6" s="415" t="s">
        <v>55</v>
      </c>
      <c r="D6" s="415" t="s">
        <v>56</v>
      </c>
      <c r="E6" s="415" t="s">
        <v>57</v>
      </c>
      <c r="F6" s="736" t="s">
        <v>1021</v>
      </c>
      <c r="G6" s="416" t="s">
        <v>1068</v>
      </c>
      <c r="J6" s="430" t="s">
        <v>680</v>
      </c>
      <c r="K6" s="431" t="s">
        <v>315</v>
      </c>
      <c r="L6" s="432" t="s">
        <v>857</v>
      </c>
      <c r="M6" s="433" t="s">
        <v>84</v>
      </c>
      <c r="N6" s="2502">
        <f>C8*E57</f>
        <v>7891.6240362016451</v>
      </c>
    </row>
    <row r="7" spans="2:20" ht="16" customHeight="1" thickBot="1">
      <c r="B7" s="417" t="s">
        <v>682</v>
      </c>
      <c r="C7" s="8">
        <f>C8+C18+C38+C51</f>
        <v>336.9694079293501</v>
      </c>
      <c r="D7" s="1037">
        <f>D18+D28+D43+D51</f>
        <v>10.235457002682237</v>
      </c>
      <c r="E7" s="8">
        <f>E51</f>
        <v>1.450885893015093</v>
      </c>
      <c r="F7" s="8">
        <f>F48+F49</f>
        <v>230.26766076496165</v>
      </c>
      <c r="G7" s="8">
        <f>G51</f>
        <v>53.392600862955433</v>
      </c>
      <c r="J7" s="430" t="s">
        <v>110</v>
      </c>
      <c r="K7" s="431" t="s">
        <v>315</v>
      </c>
      <c r="L7" s="432" t="s">
        <v>1122</v>
      </c>
      <c r="M7" s="433" t="s">
        <v>84</v>
      </c>
      <c r="N7" s="2503">
        <f>C18*E57</f>
        <v>443.09104086412026</v>
      </c>
      <c r="O7" s="603"/>
      <c r="P7" s="603"/>
      <c r="Q7" s="603"/>
      <c r="R7" s="603"/>
      <c r="S7" s="603"/>
      <c r="T7" s="619"/>
    </row>
    <row r="8" spans="2:20" ht="16" customHeight="1">
      <c r="B8" s="418" t="s">
        <v>721</v>
      </c>
      <c r="C8" s="4">
        <f>SUM(C9:C17)</f>
        <v>281.84371557863017</v>
      </c>
      <c r="D8" s="2"/>
      <c r="E8" s="2"/>
      <c r="F8" s="2"/>
      <c r="G8" s="2"/>
      <c r="H8" s="454"/>
      <c r="J8" s="430" t="s">
        <v>110</v>
      </c>
      <c r="K8" s="431" t="s">
        <v>315</v>
      </c>
      <c r="L8" s="432" t="s">
        <v>852</v>
      </c>
      <c r="M8" s="433" t="s">
        <v>85</v>
      </c>
      <c r="N8" s="2503">
        <f>D18*E58</f>
        <v>271.80578573792371</v>
      </c>
    </row>
    <row r="9" spans="2:20" ht="16" customHeight="1">
      <c r="B9" s="419" t="s">
        <v>1159</v>
      </c>
      <c r="C9" s="186">
        <f>SUM('3A1 Fermentación E.'!F13:F24)</f>
        <v>270.96860772587826</v>
      </c>
      <c r="D9" s="1"/>
      <c r="E9" s="1"/>
      <c r="F9" s="1"/>
      <c r="G9" s="1"/>
      <c r="H9" s="735"/>
      <c r="J9" s="430" t="s">
        <v>127</v>
      </c>
      <c r="K9" s="431" t="s">
        <v>315</v>
      </c>
      <c r="L9" s="432" t="s">
        <v>853</v>
      </c>
      <c r="M9" s="433" t="s">
        <v>85</v>
      </c>
      <c r="N9" s="2503">
        <f>D28*E58</f>
        <v>93.217995223341987</v>
      </c>
    </row>
    <row r="10" spans="2:20" ht="16" customHeight="1">
      <c r="B10" s="419" t="s">
        <v>683</v>
      </c>
      <c r="C10" s="186">
        <f>'3A1 Fermentación E.'!F25</f>
        <v>0.26105200000000001</v>
      </c>
      <c r="D10" s="1"/>
      <c r="E10" s="1"/>
      <c r="F10" s="1"/>
      <c r="G10" s="1"/>
      <c r="H10" s="454"/>
      <c r="J10" s="435" t="s">
        <v>259</v>
      </c>
      <c r="K10" s="431" t="s">
        <v>315</v>
      </c>
      <c r="L10" s="434" t="s">
        <v>858</v>
      </c>
      <c r="M10" s="433" t="s">
        <v>83</v>
      </c>
      <c r="N10" s="2503">
        <f>F49*E56</f>
        <v>21.429287431628282</v>
      </c>
    </row>
    <row r="11" spans="2:20" ht="16" customHeight="1">
      <c r="B11" s="419" t="s">
        <v>684</v>
      </c>
      <c r="C11" s="186">
        <f>'3A1 Fermentación E.'!F26</f>
        <v>2.4947600644429349</v>
      </c>
      <c r="D11" s="1"/>
      <c r="E11" s="1"/>
      <c r="F11" s="1"/>
      <c r="G11" s="1"/>
      <c r="H11" s="454"/>
      <c r="J11" s="430" t="s">
        <v>104</v>
      </c>
      <c r="K11" s="431" t="s">
        <v>315</v>
      </c>
      <c r="L11" s="434" t="s">
        <v>854</v>
      </c>
      <c r="M11" s="433" t="s">
        <v>83</v>
      </c>
      <c r="N11" s="2503">
        <f>F48*E56</f>
        <v>208.83837333333335</v>
      </c>
    </row>
    <row r="12" spans="2:20" ht="16" customHeight="1">
      <c r="B12" s="419" t="s">
        <v>685</v>
      </c>
      <c r="C12" s="186">
        <f>'3A1 Fermentación E.'!F27</f>
        <v>0.10872653440633455</v>
      </c>
      <c r="D12" s="1"/>
      <c r="E12" s="1"/>
      <c r="F12" s="1"/>
      <c r="G12" s="1"/>
      <c r="H12" s="454"/>
      <c r="J12" s="430" t="s">
        <v>129</v>
      </c>
      <c r="K12" s="431" t="s">
        <v>315</v>
      </c>
      <c r="L12" s="432" t="s">
        <v>859</v>
      </c>
      <c r="M12" s="433" t="s">
        <v>85</v>
      </c>
      <c r="N12" s="2502">
        <f>(D44+D45)*E58</f>
        <v>1569.699698806575</v>
      </c>
    </row>
    <row r="13" spans="2:20" ht="16" customHeight="1">
      <c r="B13" s="419" t="s">
        <v>1123</v>
      </c>
      <c r="C13" s="186">
        <f>'3A1 Fermentación E.'!F28</f>
        <v>0.16759826605649528</v>
      </c>
      <c r="D13" s="1"/>
      <c r="E13" s="1"/>
      <c r="F13" s="1"/>
      <c r="G13" s="1"/>
      <c r="H13" s="454"/>
      <c r="J13" s="430" t="s">
        <v>161</v>
      </c>
      <c r="K13" s="431" t="s">
        <v>315</v>
      </c>
      <c r="L13" s="432" t="s">
        <v>855</v>
      </c>
      <c r="M13" s="433" t="s">
        <v>85</v>
      </c>
      <c r="N13" s="2502">
        <f>(D46+D47)*E58</f>
        <v>766.90705261677965</v>
      </c>
    </row>
    <row r="14" spans="2:20" ht="16" customHeight="1" thickBot="1">
      <c r="B14" s="419" t="s">
        <v>686</v>
      </c>
      <c r="C14" s="186">
        <f>'3A1 Fermentación E.'!F29</f>
        <v>4.6886223035175387</v>
      </c>
      <c r="D14" s="1"/>
      <c r="E14" s="1"/>
      <c r="F14" s="1"/>
      <c r="G14" s="1"/>
      <c r="H14" s="454"/>
      <c r="J14" s="482" t="s">
        <v>202</v>
      </c>
      <c r="K14" s="431" t="s">
        <v>315</v>
      </c>
      <c r="L14" s="483" t="s">
        <v>856</v>
      </c>
      <c r="M14" s="484" t="s">
        <v>84</v>
      </c>
      <c r="N14" s="2504">
        <f>C38*E57</f>
        <v>1056.5535555512622</v>
      </c>
    </row>
    <row r="15" spans="2:20" ht="16" customHeight="1" thickBot="1">
      <c r="B15" s="419" t="s">
        <v>687</v>
      </c>
      <c r="C15" s="186">
        <f>'3A1 Fermentación E.'!F30</f>
        <v>1.4716866440364331</v>
      </c>
      <c r="D15" s="1"/>
      <c r="E15" s="1"/>
      <c r="F15" s="1"/>
      <c r="G15" s="1"/>
      <c r="H15" s="454"/>
      <c r="J15" s="482" t="s">
        <v>1079</v>
      </c>
      <c r="K15" s="927" t="s">
        <v>315</v>
      </c>
      <c r="L15" s="766" t="s">
        <v>1026</v>
      </c>
      <c r="M15" s="484" t="s">
        <v>1080</v>
      </c>
      <c r="N15" s="2504">
        <f>(C51*E57)+(D51*E58)</f>
        <v>54.640362730948411</v>
      </c>
    </row>
    <row r="16" spans="2:20" ht="17.149999999999999" customHeight="1" thickBot="1">
      <c r="B16" s="419" t="s">
        <v>688</v>
      </c>
      <c r="C16" s="186">
        <f>'3A1 Fermentación E.'!F31</f>
        <v>1.6826620402921852</v>
      </c>
      <c r="D16" s="1"/>
      <c r="E16" s="1"/>
      <c r="F16" s="1"/>
      <c r="G16" s="1"/>
      <c r="H16" s="454"/>
      <c r="J16" s="479"/>
      <c r="K16" s="480"/>
      <c r="L16" s="481"/>
      <c r="M16" s="479"/>
      <c r="N16" s="478"/>
      <c r="P16" s="479"/>
      <c r="Q16" s="480"/>
      <c r="R16" s="481"/>
      <c r="S16" s="479"/>
      <c r="T16" s="478"/>
    </row>
    <row r="17" spans="2:30" ht="16" customHeight="1" thickBot="1">
      <c r="B17" s="419" t="s">
        <v>689</v>
      </c>
      <c r="C17" s="185">
        <f>SUM('3A1 Fermentación E.'!F32:F35)</f>
        <v>0</v>
      </c>
      <c r="D17" s="1"/>
      <c r="E17" s="1"/>
      <c r="F17" s="1"/>
      <c r="G17" s="1"/>
      <c r="H17" s="454"/>
      <c r="J17" s="424" t="s">
        <v>679</v>
      </c>
      <c r="K17" s="425" t="s">
        <v>82</v>
      </c>
      <c r="L17" s="426" t="s">
        <v>1161</v>
      </c>
      <c r="M17" s="426" t="s">
        <v>860</v>
      </c>
      <c r="N17" s="605" t="s">
        <v>861</v>
      </c>
      <c r="T17" s="211" t="s">
        <v>294</v>
      </c>
      <c r="V17" s="211" t="s">
        <v>1007</v>
      </c>
      <c r="W17" s="624"/>
    </row>
    <row r="18" spans="2:30" ht="16" customHeight="1" thickBot="1">
      <c r="B18" s="418" t="s">
        <v>1135</v>
      </c>
      <c r="C18" s="4">
        <f>SUM(C19:C27)</f>
        <v>15.824680030861439</v>
      </c>
      <c r="D18" s="1039">
        <f>SUM(D19:D27)</f>
        <v>1.0256822103317875</v>
      </c>
      <c r="E18" s="2"/>
      <c r="F18" s="2"/>
      <c r="G18" s="2"/>
      <c r="H18" s="454"/>
      <c r="J18" s="427"/>
      <c r="K18" s="428"/>
      <c r="L18" s="429" t="s">
        <v>1162</v>
      </c>
      <c r="M18" s="429"/>
      <c r="N18" s="436"/>
      <c r="T18" s="193"/>
      <c r="V18" s="625"/>
      <c r="W18" s="623"/>
    </row>
    <row r="19" spans="2:30" ht="16" customHeight="1">
      <c r="B19" s="419" t="s">
        <v>1159</v>
      </c>
      <c r="C19" s="921">
        <f>SUM('3B Manejo de Estiércol CH4'!T13:T24)/1000000</f>
        <v>7.7236160992600142</v>
      </c>
      <c r="D19" s="188">
        <f>SUM('3B Gestión Estiércol N2O Dir'!U15:U24)/1000000</f>
        <v>0.11533619822709763</v>
      </c>
      <c r="E19" s="1"/>
      <c r="F19" s="1"/>
      <c r="G19" s="1"/>
      <c r="J19" s="430" t="s">
        <v>680</v>
      </c>
      <c r="K19" s="431" t="s">
        <v>315</v>
      </c>
      <c r="L19" s="432" t="s">
        <v>874</v>
      </c>
      <c r="M19" s="433" t="s">
        <v>84</v>
      </c>
      <c r="N19" s="630">
        <f>N6/N$5</f>
        <v>0.6375623659362839</v>
      </c>
      <c r="O19" s="603"/>
      <c r="P19" s="15"/>
      <c r="Q19" s="9"/>
      <c r="R19" s="10"/>
      <c r="S19" s="485"/>
      <c r="T19" s="487"/>
      <c r="V19" s="630" t="e">
        <f>#REF!/#REF!</f>
        <v>#REF!</v>
      </c>
      <c r="W19" s="478"/>
    </row>
    <row r="20" spans="2:30" ht="16" customHeight="1">
      <c r="B20" s="419" t="s">
        <v>683</v>
      </c>
      <c r="C20" s="921">
        <f>'3B Manejo de Estiércol CH4'!T25/1000000</f>
        <v>3.6137402254799995E-3</v>
      </c>
      <c r="D20" s="188">
        <f>'3B Gestión Estiércol N2O Dir'!U27/1000000</f>
        <v>3.4125677189999999E-4</v>
      </c>
      <c r="E20" s="1"/>
      <c r="F20" s="1"/>
      <c r="G20" s="1"/>
      <c r="H20" s="729"/>
      <c r="J20" s="430" t="s">
        <v>110</v>
      </c>
      <c r="K20" s="431" t="s">
        <v>315</v>
      </c>
      <c r="L20" s="432" t="s">
        <v>1122</v>
      </c>
      <c r="M20" s="433" t="s">
        <v>84</v>
      </c>
      <c r="N20" s="630">
        <f t="shared" ref="N20:N27" si="0">N7/N$5</f>
        <v>3.5797216269120406E-2</v>
      </c>
      <c r="O20" s="603"/>
      <c r="P20" s="15"/>
      <c r="Q20" s="9"/>
      <c r="R20" s="10"/>
      <c r="S20" s="485"/>
      <c r="T20" s="488"/>
      <c r="V20" s="630" t="e">
        <f>#REF!/#REF!</f>
        <v>#REF!</v>
      </c>
      <c r="W20" s="478"/>
    </row>
    <row r="21" spans="2:30" ht="16" customHeight="1">
      <c r="B21" s="419" t="s">
        <v>684</v>
      </c>
      <c r="C21" s="921">
        <f>'3B Manejo de Estiércol CH4'!T26/1000000</f>
        <v>3.8424239627828663E-2</v>
      </c>
      <c r="D21" s="188">
        <f>'3B Gestión Estiércol N2O Dir'!U28/1000000</f>
        <v>5.6779028374105579E-3</v>
      </c>
      <c r="E21" s="1"/>
      <c r="F21" s="1"/>
      <c r="G21" s="1"/>
      <c r="H21" s="729"/>
      <c r="J21" s="430" t="s">
        <v>110</v>
      </c>
      <c r="K21" s="431" t="s">
        <v>315</v>
      </c>
      <c r="L21" s="432" t="s">
        <v>852</v>
      </c>
      <c r="M21" s="433" t="s">
        <v>85</v>
      </c>
      <c r="N21" s="630">
        <f t="shared" si="0"/>
        <v>2.195912261345509E-2</v>
      </c>
      <c r="O21" s="603"/>
      <c r="P21" s="15"/>
      <c r="Q21" s="9"/>
      <c r="R21" s="10"/>
      <c r="S21" s="485"/>
      <c r="T21" s="488"/>
      <c r="V21" s="630" t="e">
        <f>#REF!/#REF!</f>
        <v>#REF!</v>
      </c>
      <c r="W21" s="478"/>
    </row>
    <row r="22" spans="2:30" ht="16" customHeight="1">
      <c r="B22" s="419" t="s">
        <v>685</v>
      </c>
      <c r="C22" s="921">
        <f>'3B Manejo de Estiércol CH4'!T27/1000000</f>
        <v>1.6244892392509715E-3</v>
      </c>
      <c r="D22" s="188">
        <f>'3B Gestión Estiércol N2O Dir'!U29/1000000</f>
        <v>2.0355098347623406E-4</v>
      </c>
      <c r="E22" s="1"/>
      <c r="F22" s="1"/>
      <c r="G22" s="1"/>
      <c r="H22" s="729"/>
      <c r="J22" s="430" t="s">
        <v>127</v>
      </c>
      <c r="K22" s="431" t="s">
        <v>315</v>
      </c>
      <c r="L22" s="432" t="s">
        <v>853</v>
      </c>
      <c r="M22" s="433" t="s">
        <v>85</v>
      </c>
      <c r="N22" s="630">
        <f t="shared" si="0"/>
        <v>7.5310589188986197E-3</v>
      </c>
      <c r="O22" s="603"/>
      <c r="P22" s="15"/>
      <c r="Q22" s="9"/>
      <c r="R22" s="10"/>
      <c r="S22" s="485"/>
      <c r="T22" s="488"/>
      <c r="V22" s="630" t="e">
        <f>#REF!/#REF!</f>
        <v>#REF!</v>
      </c>
      <c r="W22" s="478"/>
    </row>
    <row r="23" spans="2:30" ht="16" customHeight="1">
      <c r="B23" s="419" t="s">
        <v>1123</v>
      </c>
      <c r="C23" s="921">
        <f>'3B Manejo de Estiércol CH4'!T28/1000000</f>
        <v>3.3828107345084419E-3</v>
      </c>
      <c r="D23" s="188">
        <f>'3B Gestión Estiércol N2O Dir'!U30/1000000</f>
        <v>7.1856858723868481E-4</v>
      </c>
      <c r="E23" s="1"/>
      <c r="F23" s="1"/>
      <c r="G23" s="1"/>
      <c r="H23" s="729"/>
      <c r="J23" s="435" t="s">
        <v>259</v>
      </c>
      <c r="K23" s="431" t="s">
        <v>315</v>
      </c>
      <c r="L23" s="434" t="s">
        <v>858</v>
      </c>
      <c r="M23" s="433" t="s">
        <v>83</v>
      </c>
      <c r="N23" s="630">
        <f t="shared" si="0"/>
        <v>1.7312668637739065E-3</v>
      </c>
      <c r="O23" s="603"/>
      <c r="P23" s="15"/>
      <c r="Q23" s="11"/>
      <c r="R23" s="10"/>
      <c r="S23" s="485"/>
      <c r="T23" s="488"/>
      <c r="V23" s="630" t="e">
        <f>#REF!/#REF!</f>
        <v>#REF!</v>
      </c>
      <c r="W23" s="478"/>
    </row>
    <row r="24" spans="2:30" ht="16" customHeight="1">
      <c r="B24" s="419" t="s">
        <v>686</v>
      </c>
      <c r="C24" s="921">
        <f>'3B Manejo de Estiércol CH4'!T29/1000000</f>
        <v>0.30629006586893964</v>
      </c>
      <c r="D24" s="188">
        <f>'3B Gestión Estiércol N2O Dir'!U31/1000000</f>
        <v>3.2713351344495836E-2</v>
      </c>
      <c r="E24" s="1"/>
      <c r="F24" s="1"/>
      <c r="G24" s="1"/>
      <c r="H24" s="729"/>
      <c r="J24" s="430" t="s">
        <v>104</v>
      </c>
      <c r="K24" s="431" t="s">
        <v>315</v>
      </c>
      <c r="L24" s="434" t="s">
        <v>854</v>
      </c>
      <c r="M24" s="433" t="s">
        <v>83</v>
      </c>
      <c r="N24" s="630">
        <f t="shared" si="0"/>
        <v>1.6872000844172348E-2</v>
      </c>
      <c r="O24" s="603"/>
      <c r="P24" s="15"/>
      <c r="Q24" s="11"/>
      <c r="R24" s="10"/>
      <c r="S24" s="485"/>
      <c r="T24" s="488"/>
      <c r="V24" s="630" t="e">
        <f>#REF!/#REF!</f>
        <v>#REF!</v>
      </c>
      <c r="W24" s="623"/>
    </row>
    <row r="25" spans="2:30">
      <c r="B25" s="419" t="s">
        <v>687</v>
      </c>
      <c r="C25" s="921">
        <f>'3B Manejo de Estiércol CH4'!T30/1000000</f>
        <v>9.4523960712898147E-2</v>
      </c>
      <c r="D25" s="188">
        <f>'3B Gestión Estiércol N2O Dir'!U32/1000000</f>
        <v>1.0095644233520443E-2</v>
      </c>
      <c r="E25" s="1"/>
      <c r="F25" s="1"/>
      <c r="G25" s="1"/>
      <c r="H25" s="729"/>
      <c r="J25" s="430" t="s">
        <v>129</v>
      </c>
      <c r="K25" s="431" t="s">
        <v>315</v>
      </c>
      <c r="L25" s="432" t="s">
        <v>859</v>
      </c>
      <c r="M25" s="433" t="s">
        <v>85</v>
      </c>
      <c r="N25" s="630">
        <f t="shared" si="0"/>
        <v>0.1268156527971501</v>
      </c>
      <c r="O25" s="2851">
        <f>N25+N26</f>
        <v>0.18877388505410839</v>
      </c>
      <c r="P25" s="632"/>
      <c r="Q25" s="9"/>
      <c r="R25" s="10"/>
      <c r="S25" s="485"/>
      <c r="T25" s="489"/>
      <c r="V25" s="631" t="e">
        <f>#REF!/#REF!</f>
        <v>#REF!</v>
      </c>
      <c r="W25" s="2853" t="e">
        <f>V25+V26</f>
        <v>#REF!</v>
      </c>
      <c r="X25" s="437"/>
      <c r="Y25" s="437"/>
      <c r="Z25" s="437"/>
      <c r="AA25" s="437"/>
      <c r="AB25" s="437"/>
      <c r="AC25" s="437"/>
      <c r="AD25" s="437"/>
    </row>
    <row r="26" spans="2:30">
      <c r="B26" s="419" t="s">
        <v>688</v>
      </c>
      <c r="C26" s="921">
        <f>'3B Manejo de Estiércol CH4'!T31/1000000</f>
        <v>7.1009401626872783</v>
      </c>
      <c r="D26" s="188">
        <f>'3B Gestión Estiércol N2O Dir'!U33/1000000</f>
        <v>0.38151465181113092</v>
      </c>
      <c r="E26" s="1"/>
      <c r="F26" s="1"/>
      <c r="G26" s="1"/>
      <c r="H26" s="729"/>
      <c r="J26" s="430" t="s">
        <v>161</v>
      </c>
      <c r="K26" s="431" t="s">
        <v>315</v>
      </c>
      <c r="L26" s="432" t="s">
        <v>855</v>
      </c>
      <c r="M26" s="433" t="s">
        <v>85</v>
      </c>
      <c r="N26" s="630">
        <f t="shared" si="0"/>
        <v>6.1958232256958297E-2</v>
      </c>
      <c r="O26" s="2852"/>
      <c r="P26" s="632"/>
      <c r="Q26" s="9"/>
      <c r="R26" s="10"/>
      <c r="S26" s="485"/>
      <c r="T26" s="489"/>
      <c r="V26" s="631" t="e">
        <f>#REF!/#REF!</f>
        <v>#REF!</v>
      </c>
      <c r="W26" s="2854"/>
      <c r="X26" s="437"/>
      <c r="Y26" s="437"/>
      <c r="Z26" s="437"/>
      <c r="AA26" s="437"/>
      <c r="AB26" s="437"/>
      <c r="AC26" s="437"/>
      <c r="AD26" s="437"/>
    </row>
    <row r="27" spans="2:30" ht="14.5" thickBot="1">
      <c r="B27" s="419" t="s">
        <v>689</v>
      </c>
      <c r="C27" s="3">
        <f>SUM('3B Manejo de Estiércol CH4'!T32:T35)/1000000</f>
        <v>0.55226446250524119</v>
      </c>
      <c r="D27" s="188">
        <f>SUM('3B Gestión Estiércol N2O Dir'!U34:U37)/1000000</f>
        <v>0.47908108553551726</v>
      </c>
      <c r="E27" s="1"/>
      <c r="F27" s="1"/>
      <c r="G27" s="1"/>
      <c r="H27" s="729"/>
      <c r="J27" s="482" t="s">
        <v>202</v>
      </c>
      <c r="K27" s="431" t="s">
        <v>315</v>
      </c>
      <c r="L27" s="483" t="s">
        <v>856</v>
      </c>
      <c r="M27" s="484" t="s">
        <v>84</v>
      </c>
      <c r="N27" s="630">
        <f t="shared" si="0"/>
        <v>8.5358702027051744E-2</v>
      </c>
      <c r="O27" s="603"/>
      <c r="P27" s="475"/>
      <c r="Q27" s="476"/>
      <c r="R27" s="477"/>
      <c r="S27" s="486"/>
      <c r="T27" s="490"/>
      <c r="V27" s="630" t="e">
        <f>#REF!/#REF!</f>
        <v>#REF!</v>
      </c>
      <c r="W27" s="437"/>
      <c r="X27" s="437"/>
      <c r="Y27" s="437"/>
      <c r="Z27" s="437"/>
      <c r="AA27" s="437"/>
      <c r="AB27" s="437"/>
      <c r="AC27" s="437"/>
      <c r="AD27" s="437"/>
    </row>
    <row r="28" spans="2:30" ht="14.5" thickBot="1">
      <c r="B28" s="420" t="s">
        <v>1136</v>
      </c>
      <c r="C28" s="2"/>
      <c r="D28" s="1038">
        <f>SUM(D29:D37)</f>
        <v>0.35176601971072446</v>
      </c>
      <c r="E28" s="2"/>
      <c r="F28" s="2"/>
      <c r="G28" s="2"/>
      <c r="H28" s="729"/>
      <c r="J28" s="482" t="s">
        <v>1079</v>
      </c>
      <c r="K28" s="927" t="s">
        <v>315</v>
      </c>
      <c r="L28" s="766" t="s">
        <v>1026</v>
      </c>
      <c r="M28" s="484" t="s">
        <v>1080</v>
      </c>
      <c r="N28" s="928">
        <f>N15/N$5</f>
        <v>4.4143814731356116E-3</v>
      </c>
      <c r="O28" s="437"/>
      <c r="P28" s="442"/>
      <c r="Q28" s="444"/>
      <c r="R28" s="441"/>
      <c r="S28" s="442"/>
      <c r="T28" s="443"/>
      <c r="U28" s="437"/>
      <c r="V28" s="630">
        <v>3.0000000000000001E-3</v>
      </c>
      <c r="W28" s="437"/>
      <c r="X28" s="437"/>
      <c r="Y28" s="437"/>
      <c r="Z28" s="437"/>
      <c r="AA28" s="437"/>
      <c r="AB28" s="437"/>
      <c r="AC28" s="437"/>
      <c r="AD28" s="437"/>
    </row>
    <row r="29" spans="2:30" ht="16" customHeight="1">
      <c r="B29" s="419" t="s">
        <v>690</v>
      </c>
      <c r="C29" s="2"/>
      <c r="D29" s="187">
        <f>SUM('3B Gestión Estiércol N2O Ind'!AG15:AG26)/1000000</f>
        <v>6.7103151072852682E-2</v>
      </c>
      <c r="E29" s="2"/>
      <c r="F29" s="2"/>
      <c r="G29" s="2"/>
      <c r="J29" s="14"/>
      <c r="K29" s="14"/>
      <c r="L29" s="441"/>
      <c r="M29" s="442"/>
      <c r="N29" s="445"/>
      <c r="O29" s="437"/>
      <c r="P29" s="442"/>
      <c r="Q29" s="446"/>
      <c r="R29" s="441"/>
      <c r="S29" s="442"/>
      <c r="T29" s="445"/>
      <c r="U29" s="437"/>
      <c r="V29" s="437"/>
      <c r="W29" s="437"/>
      <c r="X29" s="437"/>
      <c r="Y29" s="437"/>
      <c r="Z29" s="437"/>
      <c r="AA29" s="437"/>
      <c r="AB29" s="437"/>
      <c r="AC29" s="437"/>
      <c r="AD29" s="437"/>
    </row>
    <row r="30" spans="2:30" ht="16" customHeight="1">
      <c r="B30" s="419" t="s">
        <v>683</v>
      </c>
      <c r="C30" s="2"/>
      <c r="D30" s="187">
        <f>'3B Gestión Estiércol N2O Ind'!AG27/1000000</f>
        <v>5.62078341383625E-5</v>
      </c>
      <c r="E30" s="2"/>
      <c r="F30" s="2"/>
      <c r="G30" s="2"/>
      <c r="H30" s="730"/>
      <c r="J30" s="14"/>
      <c r="K30" s="14"/>
      <c r="L30" s="447"/>
      <c r="M30" s="442"/>
      <c r="N30" s="635"/>
      <c r="O30" s="437"/>
      <c r="P30" s="442"/>
      <c r="Q30" s="446"/>
      <c r="R30" s="441"/>
      <c r="S30" s="442"/>
      <c r="T30" s="448"/>
      <c r="U30" s="437"/>
      <c r="V30" s="437"/>
      <c r="W30" s="437"/>
      <c r="X30" s="437"/>
      <c r="Y30" s="437"/>
      <c r="Z30" s="437"/>
      <c r="AA30" s="437"/>
      <c r="AB30" s="437"/>
      <c r="AC30" s="437"/>
      <c r="AD30" s="437"/>
    </row>
    <row r="31" spans="2:30" ht="16" customHeight="1">
      <c r="B31" s="419" t="s">
        <v>684</v>
      </c>
      <c r="C31" s="2"/>
      <c r="D31" s="187">
        <f>'3B Gestión Estiércol N2O Ind'!AG28/1000000</f>
        <v>8.7610040781244906E-4</v>
      </c>
      <c r="E31" s="2"/>
      <c r="F31" s="2"/>
      <c r="G31" s="2"/>
      <c r="H31" s="730"/>
      <c r="J31" s="14"/>
      <c r="K31" s="14"/>
      <c r="L31" s="447"/>
      <c r="M31" s="442"/>
      <c r="N31" s="2024" t="s">
        <v>2219</v>
      </c>
      <c r="O31" s="2023" t="s">
        <v>512</v>
      </c>
      <c r="P31" s="442"/>
      <c r="Q31" s="446"/>
      <c r="R31" s="441"/>
      <c r="S31" s="442"/>
      <c r="T31" s="448"/>
      <c r="U31" s="437"/>
      <c r="V31" s="437"/>
      <c r="W31" s="437"/>
      <c r="X31" s="437"/>
      <c r="Y31" s="437"/>
      <c r="Z31" s="437"/>
      <c r="AA31" s="437"/>
      <c r="AB31" s="437"/>
      <c r="AC31" s="437"/>
      <c r="AD31" s="437"/>
    </row>
    <row r="32" spans="2:30" ht="16" customHeight="1">
      <c r="B32" s="419" t="s">
        <v>685</v>
      </c>
      <c r="C32" s="2"/>
      <c r="D32" s="187">
        <f>'3B Gestión Estiércol N2O Ind'!AG29/1000000</f>
        <v>3.1407916750382908E-5</v>
      </c>
      <c r="E32" s="2"/>
      <c r="F32" s="2"/>
      <c r="G32" s="2"/>
      <c r="H32" s="730"/>
      <c r="J32" s="14"/>
      <c r="K32" s="14"/>
      <c r="L32" s="2020" t="s">
        <v>2217</v>
      </c>
      <c r="M32" s="2021"/>
      <c r="N32" s="2022">
        <f>N6+N7+N9+N8</f>
        <v>8699.7388580270308</v>
      </c>
      <c r="O32" s="2025">
        <f>N32/N$5</f>
        <v>0.70284976373775798</v>
      </c>
      <c r="P32" s="437"/>
      <c r="Q32" s="437"/>
      <c r="R32" s="437"/>
      <c r="S32" s="437"/>
      <c r="T32" s="437"/>
      <c r="U32" s="437"/>
      <c r="V32" s="437"/>
      <c r="W32" s="437"/>
      <c r="X32" s="437"/>
      <c r="Y32" s="437"/>
      <c r="Z32" s="437"/>
      <c r="AA32" s="437"/>
      <c r="AB32" s="437"/>
      <c r="AC32" s="437"/>
      <c r="AD32" s="437"/>
    </row>
    <row r="33" spans="2:30" ht="16" customHeight="1">
      <c r="B33" s="419" t="s">
        <v>1123</v>
      </c>
      <c r="C33" s="2"/>
      <c r="D33" s="187">
        <f>'3B Gestión Estiércol N2O Ind'!AG30/1000000</f>
        <v>1.1087513301092906E-4</v>
      </c>
      <c r="E33" s="2"/>
      <c r="F33" s="2"/>
      <c r="G33" s="2"/>
      <c r="H33" s="730"/>
      <c r="J33" s="14"/>
      <c r="K33" s="14"/>
      <c r="L33" s="2020" t="s">
        <v>2218</v>
      </c>
      <c r="M33" s="2021"/>
      <c r="N33" s="2022">
        <f>N5-N32</f>
        <v>3678.0683304705271</v>
      </c>
      <c r="O33" s="2034">
        <f>N33/N$5</f>
        <v>0.29715023626224202</v>
      </c>
      <c r="P33" s="437"/>
      <c r="Q33" s="437"/>
      <c r="R33" s="437"/>
      <c r="S33" s="437"/>
      <c r="T33" s="437"/>
      <c r="U33" s="437"/>
      <c r="V33" s="437"/>
      <c r="W33" s="437"/>
      <c r="X33" s="437"/>
      <c r="Y33" s="437"/>
      <c r="Z33" s="437"/>
      <c r="AA33" s="437"/>
      <c r="AB33" s="437"/>
      <c r="AC33" s="437"/>
      <c r="AD33" s="437"/>
    </row>
    <row r="34" spans="2:30" ht="16" customHeight="1">
      <c r="B34" s="419" t="s">
        <v>686</v>
      </c>
      <c r="C34" s="2"/>
      <c r="D34" s="187">
        <f>'3B Gestión Estiércol N2O Ind'!AG31/1000000</f>
        <v>5.0476701124557068E-3</v>
      </c>
      <c r="E34" s="2"/>
      <c r="F34" s="2"/>
      <c r="G34" s="2"/>
      <c r="H34" s="730"/>
      <c r="J34" s="14"/>
      <c r="K34" s="14"/>
      <c r="L34" s="437"/>
      <c r="M34" s="437"/>
      <c r="N34" s="2024" t="s">
        <v>2219</v>
      </c>
      <c r="O34" s="2023" t="s">
        <v>512</v>
      </c>
      <c r="P34" s="437"/>
      <c r="Q34" s="437"/>
      <c r="R34" s="437"/>
      <c r="S34" s="437"/>
      <c r="T34" s="437"/>
      <c r="U34" s="437"/>
      <c r="V34" s="437"/>
      <c r="W34" s="437"/>
      <c r="X34" s="437"/>
      <c r="Y34" s="437"/>
      <c r="Z34" s="437"/>
      <c r="AA34" s="437"/>
      <c r="AB34" s="437"/>
      <c r="AC34" s="437"/>
      <c r="AD34" s="437"/>
    </row>
    <row r="35" spans="2:30" ht="16" customHeight="1">
      <c r="B35" s="419" t="s">
        <v>964</v>
      </c>
      <c r="C35" s="2"/>
      <c r="D35" s="187">
        <f>'3B Gestión Estiércol N2O Ind'!AG32/1000000</f>
        <v>1.5577579052322042E-3</v>
      </c>
      <c r="E35" s="2"/>
      <c r="F35" s="2"/>
      <c r="G35" s="2"/>
      <c r="H35" s="730"/>
      <c r="J35" s="14"/>
      <c r="K35" s="14"/>
      <c r="L35" s="437"/>
      <c r="M35" s="2026" t="s">
        <v>84</v>
      </c>
      <c r="N35" s="2030">
        <f>N6+N7+N14+(C51*E57)</f>
        <v>9435.1434220218016</v>
      </c>
      <c r="O35" s="2029">
        <f>N35/N$5</f>
        <v>0.76226291768300336</v>
      </c>
      <c r="P35" s="437"/>
      <c r="Q35" s="437"/>
      <c r="R35" s="437"/>
      <c r="S35" s="437"/>
      <c r="T35" s="437"/>
      <c r="U35" s="437"/>
      <c r="V35" s="437"/>
      <c r="W35" s="437"/>
      <c r="X35" s="437"/>
      <c r="Y35" s="437"/>
      <c r="Z35" s="437"/>
      <c r="AA35" s="437"/>
      <c r="AB35" s="437"/>
      <c r="AC35" s="437"/>
      <c r="AD35" s="437"/>
    </row>
    <row r="36" spans="2:30">
      <c r="B36" s="419" t="s">
        <v>688</v>
      </c>
      <c r="C36" s="2"/>
      <c r="D36" s="187">
        <f>'3B Gestión Estiércol N2O Ind'!AG33/1000000</f>
        <v>0.13807015249044829</v>
      </c>
      <c r="E36" s="2"/>
      <c r="F36" s="2"/>
      <c r="G36" s="2"/>
      <c r="H36" s="730"/>
      <c r="L36" s="2856"/>
      <c r="M36" s="2027" t="s">
        <v>85</v>
      </c>
      <c r="N36" s="2031">
        <f>N8+N9+N12+N13+(D51*E58)</f>
        <v>2712.3961057107927</v>
      </c>
      <c r="O36" s="2029">
        <f t="shared" ref="O36:O37" si="1">N36/N$5</f>
        <v>0.21913381460905018</v>
      </c>
      <c r="P36" s="437"/>
      <c r="Q36" s="437"/>
      <c r="R36" s="437"/>
      <c r="S36" s="437"/>
      <c r="T36" s="437"/>
      <c r="U36" s="437"/>
      <c r="V36" s="437"/>
      <c r="W36" s="437"/>
      <c r="X36" s="437"/>
      <c r="Y36" s="437"/>
      <c r="Z36" s="437"/>
      <c r="AA36" s="437"/>
      <c r="AB36" s="437"/>
      <c r="AC36" s="437"/>
      <c r="AD36" s="437"/>
    </row>
    <row r="37" spans="2:30" ht="16" customHeight="1">
      <c r="B37" s="419" t="s">
        <v>689</v>
      </c>
      <c r="C37" s="2"/>
      <c r="D37" s="187">
        <f>SUM('3B Gestión Estiércol N2O Ind'!AG34:AG37)/1000000</f>
        <v>0.13891269683802346</v>
      </c>
      <c r="E37" s="2"/>
      <c r="F37" s="2"/>
      <c r="G37" s="2"/>
      <c r="H37" s="730"/>
      <c r="L37" s="2856"/>
      <c r="M37" s="2027" t="s">
        <v>83</v>
      </c>
      <c r="N37" s="2032">
        <f>N10+N11</f>
        <v>230.26766076496165</v>
      </c>
      <c r="O37" s="2029">
        <f t="shared" si="1"/>
        <v>1.8603267707946257E-2</v>
      </c>
      <c r="P37" s="437"/>
      <c r="Q37" s="437"/>
      <c r="R37" s="437"/>
      <c r="S37" s="437"/>
      <c r="T37" s="437"/>
      <c r="U37" s="437"/>
      <c r="V37" s="437"/>
      <c r="W37" s="437"/>
      <c r="X37" s="437"/>
      <c r="Y37" s="437"/>
      <c r="Z37" s="437"/>
      <c r="AA37" s="437"/>
      <c r="AB37" s="437"/>
      <c r="AC37" s="437"/>
      <c r="AD37" s="437"/>
    </row>
    <row r="38" spans="2:30" ht="16" customHeight="1">
      <c r="B38" s="420" t="s">
        <v>1137</v>
      </c>
      <c r="C38" s="4">
        <f>C39+C40+C41</f>
        <v>37.734055555402222</v>
      </c>
      <c r="D38" s="2"/>
      <c r="E38" s="2"/>
      <c r="F38" s="2"/>
      <c r="G38" s="2"/>
      <c r="H38" s="730"/>
      <c r="L38" s="438"/>
      <c r="M38" s="438"/>
      <c r="N38" s="2028"/>
      <c r="O38" s="440"/>
      <c r="P38" s="437"/>
      <c r="Q38" s="437"/>
      <c r="R38" s="437"/>
      <c r="S38" s="437"/>
      <c r="T38" s="437"/>
      <c r="U38" s="437"/>
      <c r="V38" s="437"/>
      <c r="W38" s="437"/>
      <c r="X38" s="437"/>
      <c r="Y38" s="437"/>
      <c r="Z38" s="437"/>
      <c r="AA38" s="437"/>
      <c r="AB38" s="437"/>
      <c r="AC38" s="437"/>
      <c r="AD38" s="437"/>
    </row>
    <row r="39" spans="2:30" ht="16" customHeight="1">
      <c r="B39" s="421" t="s">
        <v>1450</v>
      </c>
      <c r="C39" s="3">
        <f>'3C7 Arroz'!Q15</f>
        <v>8.9369806116788997</v>
      </c>
      <c r="D39" s="1"/>
      <c r="E39" s="1"/>
      <c r="F39" s="1"/>
      <c r="G39" s="1"/>
      <c r="J39" s="564"/>
      <c r="L39" s="441"/>
      <c r="M39" s="442"/>
      <c r="N39" s="449"/>
      <c r="O39" s="449"/>
      <c r="P39" s="437"/>
      <c r="Q39" s="437"/>
      <c r="R39" s="437"/>
      <c r="S39" s="437"/>
      <c r="T39" s="437"/>
      <c r="U39" s="437"/>
      <c r="V39" s="437"/>
      <c r="W39" s="437"/>
      <c r="X39" s="437"/>
      <c r="Y39" s="437"/>
      <c r="Z39" s="437"/>
      <c r="AA39" s="437"/>
      <c r="AB39" s="437"/>
      <c r="AC39" s="437"/>
      <c r="AD39" s="437"/>
    </row>
    <row r="40" spans="2:30" ht="16" customHeight="1">
      <c r="B40" s="421" t="s">
        <v>1452</v>
      </c>
      <c r="C40" s="3">
        <f>'3C7 Arroz'!Q18</f>
        <v>27.856951009248007</v>
      </c>
      <c r="D40" s="1"/>
      <c r="E40" s="1"/>
      <c r="F40" s="1"/>
      <c r="G40" s="1"/>
      <c r="L40" s="447"/>
      <c r="M40" s="442"/>
      <c r="N40" s="449"/>
      <c r="O40" s="449"/>
      <c r="P40" s="437"/>
      <c r="Q40" s="437"/>
      <c r="R40" s="437"/>
      <c r="S40" s="437"/>
      <c r="T40" s="437"/>
      <c r="U40" s="437"/>
      <c r="V40" s="437"/>
      <c r="W40" s="437"/>
      <c r="X40" s="437"/>
      <c r="Y40" s="437"/>
      <c r="Z40" s="437"/>
      <c r="AA40" s="437"/>
      <c r="AB40" s="437"/>
      <c r="AC40" s="437"/>
      <c r="AD40" s="437"/>
    </row>
    <row r="41" spans="2:30" ht="16" customHeight="1">
      <c r="B41" s="421" t="s">
        <v>1453</v>
      </c>
      <c r="C41" s="3">
        <f>'3C7 Arroz'!Q21</f>
        <v>0.94012393447531306</v>
      </c>
      <c r="D41" s="1"/>
      <c r="E41" s="1"/>
      <c r="F41" s="1"/>
      <c r="G41" s="1"/>
      <c r="L41" s="441"/>
      <c r="M41" s="442"/>
      <c r="N41" s="449"/>
      <c r="O41" s="449"/>
      <c r="P41" s="437"/>
      <c r="Q41" s="437"/>
      <c r="R41" s="437"/>
      <c r="S41" s="437"/>
      <c r="T41" s="437"/>
      <c r="U41" s="437"/>
      <c r="V41" s="437"/>
      <c r="W41" s="437"/>
      <c r="X41" s="437"/>
      <c r="Y41" s="437"/>
      <c r="Z41" s="437"/>
      <c r="AA41" s="437"/>
      <c r="AB41" s="437"/>
      <c r="AC41" s="437"/>
      <c r="AD41" s="437"/>
    </row>
    <row r="42" spans="2:30" ht="16" customHeight="1">
      <c r="B42" s="421" t="s">
        <v>1138</v>
      </c>
      <c r="C42" s="1"/>
      <c r="D42" s="1"/>
      <c r="E42" s="1"/>
      <c r="F42" s="1"/>
      <c r="G42" s="1"/>
      <c r="L42" s="441"/>
      <c r="M42" s="442"/>
      <c r="N42" s="449"/>
      <c r="O42" s="449"/>
      <c r="P42" s="437"/>
      <c r="Q42" s="437"/>
      <c r="R42" s="437"/>
      <c r="S42" s="437"/>
      <c r="T42" s="437"/>
      <c r="U42" s="437"/>
      <c r="V42" s="437"/>
      <c r="W42" s="437"/>
      <c r="X42" s="437"/>
      <c r="Y42" s="437"/>
      <c r="Z42" s="437"/>
      <c r="AA42" s="437"/>
      <c r="AB42" s="437"/>
      <c r="AC42" s="437"/>
      <c r="AD42" s="437"/>
    </row>
    <row r="43" spans="2:30" ht="16" customHeight="1">
      <c r="B43" s="422" t="s">
        <v>1139</v>
      </c>
      <c r="C43" s="2"/>
      <c r="D43" s="1039">
        <f>SUM(D44:D47)</f>
        <v>8.8173839676353012</v>
      </c>
      <c r="E43" s="2"/>
      <c r="F43" s="2"/>
      <c r="G43" s="2"/>
      <c r="L43" s="447"/>
      <c r="M43" s="442"/>
      <c r="N43" s="445"/>
      <c r="O43" s="445"/>
      <c r="P43" s="437"/>
      <c r="Q43" s="437"/>
      <c r="R43" s="437"/>
      <c r="S43" s="437"/>
      <c r="T43" s="437"/>
      <c r="U43" s="437"/>
      <c r="V43" s="437"/>
      <c r="W43" s="437"/>
      <c r="X43" s="437"/>
      <c r="Y43" s="437"/>
      <c r="Z43" s="437"/>
      <c r="AA43" s="437"/>
      <c r="AB43" s="437"/>
      <c r="AC43" s="437"/>
      <c r="AD43" s="437"/>
    </row>
    <row r="44" spans="2:30" ht="16" customHeight="1">
      <c r="B44" s="423" t="s">
        <v>1141</v>
      </c>
      <c r="C44" s="2"/>
      <c r="D44" s="3">
        <f>('3C4 Suelos Agricolas N2O Direct'!I22/1000000)*(44/28)</f>
        <v>5.0134305028313584</v>
      </c>
      <c r="E44" s="2"/>
      <c r="F44" s="2"/>
      <c r="G44" s="2"/>
      <c r="H44" s="471"/>
      <c r="L44" s="441"/>
      <c r="M44" s="442"/>
      <c r="N44" s="445"/>
      <c r="O44" s="445"/>
      <c r="P44" s="437"/>
      <c r="Q44" s="437"/>
      <c r="R44" s="437"/>
      <c r="S44" s="437"/>
      <c r="T44" s="437"/>
      <c r="U44" s="437"/>
      <c r="V44" s="437"/>
      <c r="W44" s="437"/>
      <c r="X44" s="437"/>
      <c r="Y44" s="437"/>
      <c r="Z44" s="437"/>
      <c r="AA44" s="2856"/>
      <c r="AB44" s="2855"/>
      <c r="AC44" s="2855"/>
      <c r="AD44" s="437"/>
    </row>
    <row r="45" spans="2:30" ht="16" customHeight="1">
      <c r="B45" s="423" t="s">
        <v>1142</v>
      </c>
      <c r="C45" s="2"/>
      <c r="D45" s="3">
        <f>('3C4 Suelos Agricolas N2O Direct'!T21/1000000)*(44/28)</f>
        <v>0.90996458700477445</v>
      </c>
      <c r="E45" s="2"/>
      <c r="F45" s="2"/>
      <c r="G45" s="2"/>
      <c r="L45" s="441"/>
      <c r="M45" s="442"/>
      <c r="N45" s="445"/>
      <c r="O45" s="445"/>
      <c r="P45" s="437"/>
      <c r="Q45" s="437"/>
      <c r="R45" s="437"/>
      <c r="S45" s="437"/>
      <c r="T45" s="437"/>
      <c r="U45" s="437"/>
      <c r="V45" s="437"/>
      <c r="W45" s="437"/>
      <c r="X45" s="437"/>
      <c r="Y45" s="437"/>
      <c r="Z45" s="437"/>
      <c r="AA45" s="2856"/>
      <c r="AB45" s="2855"/>
      <c r="AC45" s="2855"/>
      <c r="AD45" s="437"/>
    </row>
    <row r="46" spans="2:30" ht="16" customHeight="1">
      <c r="B46" s="423" t="s">
        <v>1143</v>
      </c>
      <c r="C46" s="2" t="s">
        <v>43</v>
      </c>
      <c r="D46" s="3">
        <f>('3C5 Suelos Agricolas N2O Indire'!I18/1000000)*(44/28)</f>
        <v>0.91302442242823101</v>
      </c>
      <c r="E46" s="2"/>
      <c r="F46" s="2"/>
      <c r="G46" s="2"/>
      <c r="L46" s="441"/>
      <c r="M46" s="442"/>
      <c r="N46" s="445"/>
      <c r="O46" s="445"/>
      <c r="P46" s="437"/>
      <c r="Q46" s="437"/>
      <c r="R46" s="437"/>
      <c r="S46" s="437"/>
      <c r="T46" s="437"/>
      <c r="U46" s="437"/>
      <c r="V46" s="437"/>
      <c r="W46" s="437"/>
      <c r="X46" s="437"/>
      <c r="Y46" s="437"/>
      <c r="Z46" s="437"/>
      <c r="AA46" s="438"/>
      <c r="AB46" s="439"/>
      <c r="AC46" s="439"/>
      <c r="AD46" s="437"/>
    </row>
    <row r="47" spans="2:30" ht="16" customHeight="1">
      <c r="B47" s="423" t="s">
        <v>1140</v>
      </c>
      <c r="C47" s="2" t="s">
        <v>43</v>
      </c>
      <c r="D47" s="3">
        <f>('3C5 Suelos Agricolas N2O Indire'!T18/1000000)*(44/28)</f>
        <v>1.9809644553709378</v>
      </c>
      <c r="E47" s="2"/>
      <c r="F47" s="2"/>
      <c r="G47" s="2"/>
      <c r="L47" s="441"/>
      <c r="M47" s="442"/>
      <c r="N47" s="445"/>
      <c r="O47" s="445"/>
      <c r="P47" s="437"/>
      <c r="Q47" s="437"/>
      <c r="R47" s="437"/>
      <c r="S47" s="437"/>
      <c r="T47" s="437"/>
      <c r="U47" s="437"/>
      <c r="V47" s="437"/>
      <c r="W47" s="437"/>
      <c r="X47" s="437"/>
      <c r="Y47" s="437"/>
      <c r="Z47" s="437"/>
      <c r="AA47" s="437"/>
      <c r="AB47" s="439"/>
      <c r="AC47" s="439"/>
      <c r="AD47" s="437"/>
    </row>
    <row r="48" spans="2:30" ht="16" customHeight="1">
      <c r="B48" s="422" t="s">
        <v>1144</v>
      </c>
      <c r="C48" s="2"/>
      <c r="D48" s="3"/>
      <c r="E48" s="2"/>
      <c r="F48" s="2">
        <f>('3C3 UREA'!E17/1000)*44/12</f>
        <v>208.83837333333335</v>
      </c>
      <c r="G48" s="2"/>
      <c r="L48" s="441"/>
      <c r="M48" s="442"/>
      <c r="N48" s="445"/>
      <c r="O48" s="445"/>
      <c r="P48" s="437"/>
      <c r="Q48" s="437"/>
      <c r="R48" s="437"/>
      <c r="S48" s="437"/>
      <c r="T48" s="437"/>
      <c r="U48" s="437"/>
      <c r="V48" s="437"/>
      <c r="W48" s="437"/>
      <c r="X48" s="437"/>
      <c r="Y48" s="437"/>
      <c r="Z48" s="437"/>
      <c r="AA48" s="437"/>
      <c r="AB48" s="439"/>
      <c r="AC48" s="439"/>
      <c r="AD48" s="437"/>
    </row>
    <row r="49" spans="2:30" ht="16" customHeight="1">
      <c r="B49" s="422" t="s">
        <v>1145</v>
      </c>
      <c r="C49" s="2"/>
      <c r="D49" s="3"/>
      <c r="E49" s="2"/>
      <c r="F49" s="2">
        <f>('3C2 Encalado'!G15/1000)*44/12</f>
        <v>21.429287431628282</v>
      </c>
      <c r="G49" s="2"/>
      <c r="L49" s="441"/>
      <c r="M49" s="442"/>
      <c r="N49" s="443"/>
      <c r="O49" s="443"/>
      <c r="P49" s="437"/>
      <c r="Q49" s="437"/>
      <c r="R49" s="437"/>
      <c r="S49" s="437"/>
      <c r="T49" s="437"/>
      <c r="U49" s="437"/>
      <c r="V49" s="437"/>
      <c r="W49" s="437"/>
      <c r="X49" s="437"/>
      <c r="Y49" s="437"/>
      <c r="Z49" s="437"/>
      <c r="AA49" s="437"/>
      <c r="AB49" s="439"/>
      <c r="AC49" s="439"/>
      <c r="AD49" s="437"/>
    </row>
    <row r="50" spans="2:30" ht="16" customHeight="1">
      <c r="B50" s="420" t="s">
        <v>81</v>
      </c>
      <c r="C50" s="3">
        <v>0</v>
      </c>
      <c r="D50" s="3">
        <v>0</v>
      </c>
      <c r="E50" s="3">
        <v>0</v>
      </c>
      <c r="F50" s="3">
        <v>0</v>
      </c>
      <c r="G50" s="2"/>
      <c r="H50" s="460"/>
      <c r="I50" s="454"/>
      <c r="L50" s="441"/>
      <c r="M50" s="442"/>
      <c r="N50" s="443"/>
      <c r="O50" s="443"/>
      <c r="P50" s="437"/>
      <c r="Q50" s="437"/>
      <c r="R50" s="437"/>
      <c r="S50" s="437"/>
      <c r="T50" s="437"/>
      <c r="U50" s="437"/>
      <c r="V50" s="437"/>
      <c r="W50" s="437"/>
      <c r="X50" s="437"/>
      <c r="Y50" s="437"/>
      <c r="Z50" s="437"/>
      <c r="AA50" s="441"/>
      <c r="AB50" s="450"/>
      <c r="AC50" s="450"/>
      <c r="AD50" s="437"/>
    </row>
    <row r="51" spans="2:30" ht="16" customHeight="1">
      <c r="B51" s="420" t="s">
        <v>1146</v>
      </c>
      <c r="C51" s="1">
        <f>+'3C1 Quema de biomasa'!J41/1000</f>
        <v>1.5669567644563007</v>
      </c>
      <c r="D51" s="1">
        <f>'3C1 Quema de biomasa'!L43/1000</f>
        <v>4.0624805004422615E-2</v>
      </c>
      <c r="E51" s="1">
        <f>'3C1 Quema de biomasa'!M44/1000</f>
        <v>1.450885893015093</v>
      </c>
      <c r="F51" s="1"/>
      <c r="G51" s="1">
        <f>'3C1 Quema de biomasa'!K42/1000</f>
        <v>53.392600862955433</v>
      </c>
      <c r="L51" s="437"/>
      <c r="M51" s="437"/>
      <c r="N51" s="437"/>
      <c r="O51" s="437"/>
      <c r="P51" s="437"/>
      <c r="Q51" s="437"/>
      <c r="R51" s="437"/>
      <c r="S51" s="437"/>
      <c r="T51" s="437"/>
      <c r="U51" s="437"/>
      <c r="V51" s="437"/>
      <c r="W51" s="437"/>
      <c r="X51" s="437"/>
      <c r="Y51" s="437"/>
      <c r="Z51" s="437"/>
      <c r="AA51" s="447"/>
      <c r="AB51" s="450"/>
      <c r="AC51" s="450"/>
      <c r="AD51" s="437"/>
    </row>
    <row r="52" spans="2:30" ht="16" customHeight="1">
      <c r="D52" s="2074"/>
      <c r="L52" s="437"/>
      <c r="M52" s="437"/>
      <c r="N52" s="437"/>
      <c r="O52" s="437"/>
      <c r="P52" s="437"/>
      <c r="Q52" s="437"/>
      <c r="R52" s="437"/>
      <c r="S52" s="437"/>
      <c r="T52" s="437"/>
      <c r="U52" s="437"/>
      <c r="V52" s="437"/>
      <c r="W52" s="437"/>
      <c r="X52" s="437"/>
      <c r="Y52" s="437"/>
      <c r="Z52" s="437"/>
      <c r="AA52" s="437"/>
      <c r="AB52" s="437"/>
      <c r="AC52" s="437"/>
      <c r="AD52" s="437"/>
    </row>
    <row r="53" spans="2:30" ht="16" customHeight="1">
      <c r="B53" s="191"/>
      <c r="I53" s="603"/>
      <c r="X53" s="437"/>
      <c r="Y53" s="437"/>
      <c r="Z53" s="437"/>
      <c r="AA53" s="437"/>
      <c r="AB53" s="437"/>
      <c r="AC53" s="437"/>
      <c r="AD53" s="437"/>
    </row>
    <row r="54" spans="2:30" ht="16" customHeight="1">
      <c r="X54" s="437"/>
      <c r="Y54" s="437"/>
      <c r="Z54" s="437"/>
      <c r="AA54" s="437"/>
      <c r="AB54" s="437"/>
      <c r="AC54" s="437"/>
      <c r="AD54" s="437"/>
    </row>
    <row r="55" spans="2:30" ht="16" customHeight="1">
      <c r="B55" s="12">
        <v>0</v>
      </c>
      <c r="C55" s="13" t="s">
        <v>90</v>
      </c>
      <c r="D55" s="13" t="s">
        <v>91</v>
      </c>
      <c r="E55" s="926" t="s">
        <v>2216</v>
      </c>
      <c r="X55" s="437"/>
      <c r="Y55" s="437"/>
      <c r="Z55" s="437"/>
      <c r="AA55" s="437"/>
      <c r="AB55" s="437"/>
      <c r="AC55" s="437"/>
      <c r="AD55" s="437"/>
    </row>
    <row r="56" spans="2:30" ht="32.5" customHeight="1">
      <c r="B56" s="451" t="s">
        <v>1147</v>
      </c>
      <c r="C56" s="12">
        <v>1</v>
      </c>
      <c r="D56" s="12">
        <v>1</v>
      </c>
      <c r="E56" s="452">
        <f t="shared" ref="E56:E71" si="2">IF($A$1=0,C56,D56)</f>
        <v>1</v>
      </c>
      <c r="X56" s="437"/>
      <c r="Y56" s="437"/>
      <c r="Z56" s="437"/>
      <c r="AA56" s="437"/>
      <c r="AB56" s="437"/>
      <c r="AC56" s="437"/>
      <c r="AD56" s="437"/>
    </row>
    <row r="57" spans="2:30" ht="16" customHeight="1">
      <c r="B57" s="451" t="s">
        <v>1148</v>
      </c>
      <c r="C57" s="12">
        <v>21</v>
      </c>
      <c r="D57" s="12">
        <v>23</v>
      </c>
      <c r="E57" s="925">
        <v>28</v>
      </c>
      <c r="X57" s="437"/>
      <c r="Y57" s="437"/>
      <c r="Z57" s="437"/>
      <c r="AA57" s="437"/>
      <c r="AB57" s="437"/>
      <c r="AC57" s="437"/>
      <c r="AD57" s="437"/>
    </row>
    <row r="58" spans="2:30" ht="16" customHeight="1">
      <c r="B58" s="451" t="s">
        <v>1149</v>
      </c>
      <c r="C58" s="12">
        <v>310</v>
      </c>
      <c r="D58" s="12">
        <v>296</v>
      </c>
      <c r="E58" s="639">
        <v>265</v>
      </c>
      <c r="X58" s="437"/>
      <c r="Y58" s="437"/>
      <c r="Z58" s="437"/>
      <c r="AA58" s="437"/>
      <c r="AB58" s="437"/>
      <c r="AC58" s="437"/>
      <c r="AD58" s="437"/>
    </row>
    <row r="59" spans="2:30" ht="16" customHeight="1">
      <c r="B59" s="451" t="s">
        <v>86</v>
      </c>
      <c r="C59" s="12">
        <v>11700</v>
      </c>
      <c r="D59" s="12">
        <v>12000</v>
      </c>
      <c r="E59" s="452">
        <f t="shared" si="2"/>
        <v>11700</v>
      </c>
      <c r="X59" s="437"/>
      <c r="Y59" s="437"/>
      <c r="Z59" s="437"/>
      <c r="AA59" s="437"/>
      <c r="AB59" s="437"/>
      <c r="AC59" s="437"/>
      <c r="AD59" s="437"/>
    </row>
    <row r="60" spans="2:30" ht="16" customHeight="1">
      <c r="B60" s="451" t="s">
        <v>92</v>
      </c>
      <c r="C60" s="12">
        <v>2800</v>
      </c>
      <c r="D60" s="12">
        <v>3400</v>
      </c>
      <c r="E60" s="452">
        <f t="shared" si="2"/>
        <v>2800</v>
      </c>
      <c r="X60" s="437"/>
      <c r="Y60" s="437"/>
      <c r="Z60" s="437"/>
      <c r="AA60" s="437"/>
      <c r="AB60" s="437"/>
      <c r="AC60" s="437"/>
      <c r="AD60" s="437"/>
    </row>
    <row r="61" spans="2:30" ht="16" customHeight="1">
      <c r="B61" s="451" t="s">
        <v>93</v>
      </c>
      <c r="C61" s="12">
        <v>1300</v>
      </c>
      <c r="D61" s="12">
        <v>1300</v>
      </c>
      <c r="E61" s="452">
        <f t="shared" si="2"/>
        <v>1300</v>
      </c>
    </row>
    <row r="62" spans="2:30" ht="16" customHeight="1">
      <c r="B62" s="451" t="s">
        <v>94</v>
      </c>
      <c r="C62" s="12">
        <v>3800</v>
      </c>
      <c r="D62" s="12">
        <v>4300</v>
      </c>
      <c r="E62" s="452">
        <f t="shared" si="2"/>
        <v>3800</v>
      </c>
    </row>
    <row r="63" spans="2:30" ht="16" customHeight="1">
      <c r="B63" s="451" t="s">
        <v>95</v>
      </c>
      <c r="C63" s="12">
        <v>140</v>
      </c>
      <c r="D63" s="12">
        <v>120</v>
      </c>
      <c r="E63" s="452">
        <f t="shared" si="2"/>
        <v>140</v>
      </c>
    </row>
    <row r="64" spans="2:30" ht="16" customHeight="1">
      <c r="B64" s="451" t="s">
        <v>96</v>
      </c>
      <c r="C64" s="12">
        <v>2900</v>
      </c>
      <c r="D64" s="12">
        <v>3500</v>
      </c>
      <c r="E64" s="452">
        <f t="shared" si="2"/>
        <v>2900</v>
      </c>
    </row>
    <row r="65" spans="2:5" ht="16" customHeight="1">
      <c r="B65" s="451" t="s">
        <v>97</v>
      </c>
      <c r="C65" s="12">
        <v>6300</v>
      </c>
      <c r="D65" s="12">
        <v>9400</v>
      </c>
      <c r="E65" s="452">
        <f t="shared" si="2"/>
        <v>6300</v>
      </c>
    </row>
    <row r="66" spans="2:5" ht="16" customHeight="1">
      <c r="B66" s="451" t="s">
        <v>98</v>
      </c>
      <c r="C66" s="12">
        <v>1300</v>
      </c>
      <c r="D66" s="12">
        <v>1500</v>
      </c>
      <c r="E66" s="452">
        <f t="shared" si="2"/>
        <v>1300</v>
      </c>
    </row>
    <row r="67" spans="2:5" ht="16" customHeight="1">
      <c r="B67" s="451" t="s">
        <v>99</v>
      </c>
      <c r="C67" s="12">
        <v>6500</v>
      </c>
      <c r="D67" s="12">
        <v>5700</v>
      </c>
      <c r="E67" s="452">
        <f t="shared" si="2"/>
        <v>6500</v>
      </c>
    </row>
    <row r="68" spans="2:5" ht="16" customHeight="1">
      <c r="B68" s="451" t="s">
        <v>100</v>
      </c>
      <c r="C68" s="12">
        <v>9200</v>
      </c>
      <c r="D68" s="12">
        <v>11900</v>
      </c>
      <c r="E68" s="452">
        <f t="shared" si="2"/>
        <v>9200</v>
      </c>
    </row>
    <row r="69" spans="2:5" ht="16" customHeight="1">
      <c r="B69" s="451" t="s">
        <v>101</v>
      </c>
      <c r="C69" s="12">
        <v>7000</v>
      </c>
      <c r="D69" s="12">
        <v>8600</v>
      </c>
      <c r="E69" s="452">
        <f t="shared" si="2"/>
        <v>7000</v>
      </c>
    </row>
    <row r="70" spans="2:5" ht="16" customHeight="1">
      <c r="B70" s="451" t="s">
        <v>102</v>
      </c>
      <c r="C70" s="12">
        <v>7400</v>
      </c>
      <c r="D70" s="12">
        <v>9000</v>
      </c>
      <c r="E70" s="452">
        <f t="shared" si="2"/>
        <v>7400</v>
      </c>
    </row>
    <row r="71" spans="2:5" ht="16" customHeight="1">
      <c r="B71" s="451" t="s">
        <v>103</v>
      </c>
      <c r="C71" s="12">
        <v>23900</v>
      </c>
      <c r="D71" s="12">
        <v>22200</v>
      </c>
      <c r="E71" s="452">
        <f t="shared" si="2"/>
        <v>23900</v>
      </c>
    </row>
    <row r="72" spans="2:5" ht="16" customHeight="1"/>
    <row r="73" spans="2:5" ht="16" customHeight="1"/>
    <row r="74" spans="2:5" ht="16" customHeight="1"/>
    <row r="75" spans="2:5" ht="16" customHeight="1"/>
    <row r="76" spans="2:5" ht="16" customHeight="1"/>
    <row r="77" spans="2:5" ht="16" customHeight="1"/>
    <row r="78" spans="2:5" ht="16" customHeight="1"/>
    <row r="79" spans="2:5" ht="16" customHeight="1"/>
    <row r="80" spans="2:5"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sheetData>
  <mergeCells count="6">
    <mergeCell ref="O25:O26"/>
    <mergeCell ref="W25:W26"/>
    <mergeCell ref="AC44:AC45"/>
    <mergeCell ref="L36:L37"/>
    <mergeCell ref="AA44:AA45"/>
    <mergeCell ref="AB44:AB45"/>
  </mergeCells>
  <phoneticPr fontId="59" type="noConversion"/>
  <hyperlinks>
    <hyperlink ref="M2" location="INDICE!A1" display="INDICE" xr:uid="{00000000-0004-0000-1500-000000000000}"/>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1DFB-EDD8-4E4F-B856-CEED63A99FC8}">
  <dimension ref="A1:U201"/>
  <sheetViews>
    <sheetView zoomScale="50" zoomScaleNormal="50" workbookViewId="0">
      <pane xSplit="2" ySplit="2" topLeftCell="C128" activePane="bottomRight" state="frozen"/>
      <selection pane="topRight" activeCell="B1" sqref="B1"/>
      <selection pane="bottomLeft" activeCell="A3" sqref="A3"/>
      <selection pane="bottomRight" activeCell="I136" sqref="I136"/>
    </sheetView>
  </sheetViews>
  <sheetFormatPr defaultColWidth="8" defaultRowHeight="14.5"/>
  <cols>
    <col min="1" max="1" width="9.6640625" style="1831" customWidth="1"/>
    <col min="2" max="2" width="8" style="1831"/>
    <col min="3" max="3" width="52.5" style="1831" customWidth="1"/>
    <col min="4" max="4" width="8" style="1831"/>
    <col min="5" max="5" width="11" style="1831" customWidth="1"/>
    <col min="6" max="6" width="10.25" style="1831" customWidth="1"/>
    <col min="7" max="7" width="10.33203125" style="1871" customWidth="1"/>
    <col min="8" max="8" width="11.4140625" style="1831" customWidth="1"/>
    <col min="9" max="9" width="11.1640625" style="1871" customWidth="1"/>
    <col min="10" max="10" width="12.08203125" style="1831" customWidth="1"/>
    <col min="11" max="11" width="10.33203125" style="1872" customWidth="1"/>
    <col min="12" max="12" width="12.33203125" style="1873" customWidth="1"/>
    <col min="13" max="13" width="9.83203125" style="1873" customWidth="1"/>
    <col min="14" max="14" width="9.33203125" style="1873" customWidth="1"/>
    <col min="15" max="15" width="11.5" style="1874" customWidth="1"/>
    <col min="16" max="16" width="15.33203125" style="1874" customWidth="1"/>
    <col min="17" max="17" width="11.6640625" style="1874" customWidth="1"/>
    <col min="18" max="18" width="13" style="1831" customWidth="1"/>
    <col min="19" max="19" width="12.08203125" style="1831" customWidth="1"/>
    <col min="20" max="20" width="13.9140625" style="1831" customWidth="1"/>
    <col min="21" max="21" width="14.25" style="1831" customWidth="1"/>
    <col min="22" max="16384" width="8" style="1831"/>
  </cols>
  <sheetData>
    <row r="1" spans="1:18" ht="151.5" customHeight="1">
      <c r="A1" s="1821" t="s">
        <v>1958</v>
      </c>
      <c r="B1" s="1822" t="s">
        <v>1959</v>
      </c>
      <c r="C1" s="1822" t="s">
        <v>1960</v>
      </c>
      <c r="D1" s="1822" t="s">
        <v>1961</v>
      </c>
      <c r="E1" s="1823" t="s">
        <v>1962</v>
      </c>
      <c r="F1" s="1824" t="s">
        <v>1963</v>
      </c>
      <c r="G1" s="1825" t="s">
        <v>1964</v>
      </c>
      <c r="H1" s="1826" t="s">
        <v>1965</v>
      </c>
      <c r="I1" s="1827" t="s">
        <v>1966</v>
      </c>
      <c r="J1" s="1826" t="s">
        <v>1967</v>
      </c>
      <c r="K1" s="1828" t="s">
        <v>1968</v>
      </c>
      <c r="L1" s="1829" t="s">
        <v>1969</v>
      </c>
      <c r="M1" s="1829" t="s">
        <v>1970</v>
      </c>
      <c r="N1" s="1829" t="s">
        <v>1971</v>
      </c>
      <c r="O1" s="1830" t="s">
        <v>1972</v>
      </c>
      <c r="P1" s="1830" t="s">
        <v>1973</v>
      </c>
      <c r="Q1" s="1830" t="s">
        <v>1974</v>
      </c>
      <c r="R1" s="1826" t="s">
        <v>1975</v>
      </c>
    </row>
    <row r="2" spans="1:18" ht="30.5">
      <c r="A2" s="1832"/>
      <c r="B2" s="1833"/>
      <c r="C2" s="1833"/>
      <c r="D2" s="1834"/>
      <c r="E2" s="1835" t="s">
        <v>1976</v>
      </c>
      <c r="F2" s="1835" t="s">
        <v>1977</v>
      </c>
      <c r="G2" s="1836" t="s">
        <v>512</v>
      </c>
      <c r="H2" s="1837"/>
      <c r="I2" s="1838" t="s">
        <v>512</v>
      </c>
      <c r="J2" s="1834"/>
      <c r="K2" s="1839" t="s">
        <v>512</v>
      </c>
      <c r="L2" s="1840"/>
      <c r="M2" s="1840" t="s">
        <v>512</v>
      </c>
      <c r="N2" s="1840" t="s">
        <v>512</v>
      </c>
      <c r="O2" s="1841" t="s">
        <v>512</v>
      </c>
      <c r="P2" s="1841" t="s">
        <v>512</v>
      </c>
      <c r="Q2" s="1842" t="s">
        <v>512</v>
      </c>
      <c r="R2" s="1837"/>
    </row>
    <row r="3" spans="1:18" ht="16.5">
      <c r="A3" s="1843" t="s">
        <v>1978</v>
      </c>
      <c r="B3" s="1844" t="s">
        <v>1979</v>
      </c>
      <c r="C3" s="1844" t="s">
        <v>1980</v>
      </c>
      <c r="D3" s="1844" t="s">
        <v>1981</v>
      </c>
      <c r="E3" s="1845"/>
      <c r="F3" s="1845"/>
      <c r="G3" s="1846">
        <v>3</v>
      </c>
      <c r="H3" s="1843" t="s">
        <v>1982</v>
      </c>
      <c r="I3" s="1846">
        <v>2.5</v>
      </c>
      <c r="J3" s="1843" t="s">
        <v>1982</v>
      </c>
      <c r="K3" s="1847">
        <f t="shared" ref="K3:K67" si="0">SQRT(G3^2+I3^2)</f>
        <v>3.905124837953327</v>
      </c>
      <c r="L3" s="1848">
        <f t="shared" ref="L3:L34" si="1">(K3*F3)^2/F$200^2</f>
        <v>0</v>
      </c>
      <c r="M3" s="1848">
        <f t="shared" ref="M3:M34" si="2">ABS(((0.01*F3+$F$200-(0.01*E3+$E$200))/(0.01*E3+$E$200))*100-(($F$200-$E$200)/$E$200)*100)</f>
        <v>0</v>
      </c>
      <c r="N3" s="1848">
        <f t="shared" ref="N3:N34" si="3">ABS(F3/$E$200)</f>
        <v>0</v>
      </c>
      <c r="O3" s="1849">
        <f>IF(J3="N",N3*I3*SQRT(2),M3*I3)</f>
        <v>0</v>
      </c>
      <c r="P3" s="1849">
        <f>IF(H3="Y",M3*G3,N3*G3*SQRT(2))</f>
        <v>0</v>
      </c>
      <c r="Q3" s="1849">
        <f>O3^2+P3^2</f>
        <v>0</v>
      </c>
      <c r="R3" s="1843" t="s">
        <v>1983</v>
      </c>
    </row>
    <row r="4" spans="1:18" ht="16.5">
      <c r="A4" s="1844" t="s">
        <v>1978</v>
      </c>
      <c r="B4" s="1844" t="s">
        <v>1979</v>
      </c>
      <c r="C4" s="1844" t="s">
        <v>1980</v>
      </c>
      <c r="D4" s="1844" t="s">
        <v>1984</v>
      </c>
      <c r="E4" s="1845"/>
      <c r="F4" s="1845"/>
      <c r="G4" s="1846">
        <v>3</v>
      </c>
      <c r="H4" s="1844" t="s">
        <v>1982</v>
      </c>
      <c r="I4" s="1846">
        <v>35</v>
      </c>
      <c r="J4" s="1844" t="s">
        <v>1983</v>
      </c>
      <c r="K4" s="1847">
        <f t="shared" si="0"/>
        <v>35.128336140500593</v>
      </c>
      <c r="L4" s="1848">
        <f t="shared" si="1"/>
        <v>0</v>
      </c>
      <c r="M4" s="1848">
        <f t="shared" si="2"/>
        <v>0</v>
      </c>
      <c r="N4" s="1848">
        <f t="shared" si="3"/>
        <v>0</v>
      </c>
      <c r="O4" s="1849">
        <f t="shared" ref="O4:O67" si="4">IF(J4="N",N4*I4*SQRT(2),M4*I4)</f>
        <v>0</v>
      </c>
      <c r="P4" s="1849">
        <f t="shared" ref="P4:P67" si="5">IF(H4="Y",M4*G4,N4*G4*SQRT(2))</f>
        <v>0</v>
      </c>
      <c r="Q4" s="1849">
        <f t="shared" ref="Q4:Q67" si="6">O4^2+P4^2</f>
        <v>0</v>
      </c>
      <c r="R4" s="1843" t="s">
        <v>1983</v>
      </c>
    </row>
    <row r="5" spans="1:18" ht="16.5">
      <c r="A5" s="1844" t="s">
        <v>1978</v>
      </c>
      <c r="B5" s="1844" t="s">
        <v>1979</v>
      </c>
      <c r="C5" s="1844" t="s">
        <v>1980</v>
      </c>
      <c r="D5" s="1844" t="s">
        <v>1985</v>
      </c>
      <c r="E5" s="1845"/>
      <c r="F5" s="1845"/>
      <c r="G5" s="1846">
        <v>3</v>
      </c>
      <c r="H5" s="1844" t="s">
        <v>1982</v>
      </c>
      <c r="I5" s="1846">
        <v>40</v>
      </c>
      <c r="J5" s="1844" t="s">
        <v>1983</v>
      </c>
      <c r="K5" s="1847">
        <f>SQRT(G5^2+I5^2)</f>
        <v>40.11234224026316</v>
      </c>
      <c r="L5" s="1848">
        <f t="shared" si="1"/>
        <v>0</v>
      </c>
      <c r="M5" s="1848">
        <f t="shared" si="2"/>
        <v>0</v>
      </c>
      <c r="N5" s="1848">
        <f t="shared" si="3"/>
        <v>0</v>
      </c>
      <c r="O5" s="1849">
        <f t="shared" si="4"/>
        <v>0</v>
      </c>
      <c r="P5" s="1849">
        <f t="shared" si="5"/>
        <v>0</v>
      </c>
      <c r="Q5" s="1849">
        <f t="shared" si="6"/>
        <v>0</v>
      </c>
      <c r="R5" s="1843" t="s">
        <v>1983</v>
      </c>
    </row>
    <row r="6" spans="1:18" ht="16.5">
      <c r="A6" s="1844" t="s">
        <v>1978</v>
      </c>
      <c r="B6" s="1844" t="s">
        <v>1979</v>
      </c>
      <c r="C6" s="1844" t="s">
        <v>1986</v>
      </c>
      <c r="D6" s="1844" t="s">
        <v>1987</v>
      </c>
      <c r="E6" s="1845"/>
      <c r="F6" s="1845"/>
      <c r="G6" s="1846">
        <v>0.9</v>
      </c>
      <c r="H6" s="1844" t="s">
        <v>1982</v>
      </c>
      <c r="I6" s="1846">
        <v>1.3</v>
      </c>
      <c r="J6" s="1844" t="s">
        <v>1982</v>
      </c>
      <c r="K6" s="1847">
        <f t="shared" si="0"/>
        <v>1.5811388300841898</v>
      </c>
      <c r="L6" s="1848">
        <f t="shared" si="1"/>
        <v>0</v>
      </c>
      <c r="M6" s="1848">
        <f t="shared" si="2"/>
        <v>0</v>
      </c>
      <c r="N6" s="1848">
        <f t="shared" si="3"/>
        <v>0</v>
      </c>
      <c r="O6" s="1849">
        <f t="shared" si="4"/>
        <v>0</v>
      </c>
      <c r="P6" s="1849">
        <f t="shared" si="5"/>
        <v>0</v>
      </c>
      <c r="Q6" s="1849">
        <f t="shared" si="6"/>
        <v>0</v>
      </c>
      <c r="R6" s="1843" t="s">
        <v>1983</v>
      </c>
    </row>
    <row r="7" spans="1:18" ht="16.5">
      <c r="A7" s="1844" t="s">
        <v>1978</v>
      </c>
      <c r="B7" s="1844" t="s">
        <v>1979</v>
      </c>
      <c r="C7" s="1844" t="s">
        <v>1986</v>
      </c>
      <c r="D7" s="1844" t="s">
        <v>1984</v>
      </c>
      <c r="E7" s="1845"/>
      <c r="F7" s="1845"/>
      <c r="G7" s="1846">
        <v>0.9</v>
      </c>
      <c r="H7" s="1844" t="s">
        <v>1982</v>
      </c>
      <c r="I7" s="1846">
        <v>50</v>
      </c>
      <c r="J7" s="1844" t="s">
        <v>1983</v>
      </c>
      <c r="K7" s="1847">
        <f t="shared" si="0"/>
        <v>50.008099344006268</v>
      </c>
      <c r="L7" s="1848">
        <f t="shared" si="1"/>
        <v>0</v>
      </c>
      <c r="M7" s="1848">
        <f t="shared" si="2"/>
        <v>0</v>
      </c>
      <c r="N7" s="1848">
        <f t="shared" si="3"/>
        <v>0</v>
      </c>
      <c r="O7" s="1849">
        <f t="shared" si="4"/>
        <v>0</v>
      </c>
      <c r="P7" s="1849">
        <f t="shared" si="5"/>
        <v>0</v>
      </c>
      <c r="Q7" s="1849">
        <f t="shared" si="6"/>
        <v>0</v>
      </c>
      <c r="R7" s="1843" t="s">
        <v>1983</v>
      </c>
    </row>
    <row r="8" spans="1:18" ht="16.5">
      <c r="A8" s="1844" t="s">
        <v>1978</v>
      </c>
      <c r="B8" s="1844" t="s">
        <v>1979</v>
      </c>
      <c r="C8" s="1844" t="s">
        <v>1986</v>
      </c>
      <c r="D8" s="1844" t="s">
        <v>1985</v>
      </c>
      <c r="E8" s="1845"/>
      <c r="F8" s="1845"/>
      <c r="G8" s="1846">
        <v>0.9</v>
      </c>
      <c r="H8" s="1844" t="s">
        <v>1982</v>
      </c>
      <c r="I8" s="1846">
        <v>55</v>
      </c>
      <c r="J8" s="1844" t="s">
        <v>1983</v>
      </c>
      <c r="K8" s="1847">
        <f t="shared" si="0"/>
        <v>55.007363143491979</v>
      </c>
      <c r="L8" s="1848">
        <f t="shared" si="1"/>
        <v>0</v>
      </c>
      <c r="M8" s="1848">
        <f t="shared" si="2"/>
        <v>0</v>
      </c>
      <c r="N8" s="1848">
        <f t="shared" si="3"/>
        <v>0</v>
      </c>
      <c r="O8" s="1849">
        <f t="shared" si="4"/>
        <v>0</v>
      </c>
      <c r="P8" s="1849">
        <f t="shared" si="5"/>
        <v>0</v>
      </c>
      <c r="Q8" s="1849">
        <f t="shared" si="6"/>
        <v>0</v>
      </c>
      <c r="R8" s="1843" t="s">
        <v>1983</v>
      </c>
    </row>
    <row r="9" spans="1:18" ht="16.5">
      <c r="A9" s="1844" t="s">
        <v>1978</v>
      </c>
      <c r="B9" s="1844" t="s">
        <v>1979</v>
      </c>
      <c r="C9" s="1844" t="s">
        <v>1988</v>
      </c>
      <c r="D9" s="1844" t="s">
        <v>1987</v>
      </c>
      <c r="E9" s="1845"/>
      <c r="F9" s="1845"/>
      <c r="G9" s="1846">
        <v>0.9</v>
      </c>
      <c r="H9" s="1844" t="s">
        <v>1982</v>
      </c>
      <c r="I9" s="1846">
        <v>0.5</v>
      </c>
      <c r="J9" s="1844" t="s">
        <v>1983</v>
      </c>
      <c r="K9" s="1847">
        <f t="shared" si="0"/>
        <v>1.0295630140987</v>
      </c>
      <c r="L9" s="1848">
        <f t="shared" si="1"/>
        <v>0</v>
      </c>
      <c r="M9" s="1848">
        <f t="shared" si="2"/>
        <v>0</v>
      </c>
      <c r="N9" s="1848">
        <f t="shared" si="3"/>
        <v>0</v>
      </c>
      <c r="O9" s="1849">
        <f t="shared" si="4"/>
        <v>0</v>
      </c>
      <c r="P9" s="1849">
        <f t="shared" si="5"/>
        <v>0</v>
      </c>
      <c r="Q9" s="1849">
        <f t="shared" si="6"/>
        <v>0</v>
      </c>
      <c r="R9" s="1843" t="s">
        <v>1983</v>
      </c>
    </row>
    <row r="10" spans="1:18" ht="16.5">
      <c r="A10" s="1844" t="s">
        <v>1978</v>
      </c>
      <c r="B10" s="1844" t="s">
        <v>1979</v>
      </c>
      <c r="C10" s="1844" t="s">
        <v>1988</v>
      </c>
      <c r="D10" s="1844" t="s">
        <v>1984</v>
      </c>
      <c r="E10" s="1845"/>
      <c r="F10" s="1845"/>
      <c r="G10" s="1846">
        <v>0.9</v>
      </c>
      <c r="H10" s="1844" t="s">
        <v>1982</v>
      </c>
      <c r="I10" s="1846">
        <v>55</v>
      </c>
      <c r="J10" s="1844" t="s">
        <v>1983</v>
      </c>
      <c r="K10" s="1847">
        <f t="shared" si="0"/>
        <v>55.007363143491979</v>
      </c>
      <c r="L10" s="1848">
        <f t="shared" si="1"/>
        <v>0</v>
      </c>
      <c r="M10" s="1848">
        <f t="shared" si="2"/>
        <v>0</v>
      </c>
      <c r="N10" s="1848">
        <f t="shared" si="3"/>
        <v>0</v>
      </c>
      <c r="O10" s="1849">
        <f t="shared" si="4"/>
        <v>0</v>
      </c>
      <c r="P10" s="1849">
        <f t="shared" si="5"/>
        <v>0</v>
      </c>
      <c r="Q10" s="1849">
        <f t="shared" si="6"/>
        <v>0</v>
      </c>
      <c r="R10" s="1843" t="s">
        <v>1983</v>
      </c>
    </row>
    <row r="11" spans="1:18" ht="16.5">
      <c r="A11" s="1844" t="s">
        <v>1978</v>
      </c>
      <c r="B11" s="1844" t="s">
        <v>1979</v>
      </c>
      <c r="C11" s="1844" t="s">
        <v>1988</v>
      </c>
      <c r="D11" s="1844" t="s">
        <v>1985</v>
      </c>
      <c r="E11" s="1845"/>
      <c r="F11" s="1845"/>
      <c r="G11" s="1846">
        <v>0.9</v>
      </c>
      <c r="H11" s="1844" t="s">
        <v>1982</v>
      </c>
      <c r="I11" s="1846">
        <v>50</v>
      </c>
      <c r="J11" s="1844" t="s">
        <v>1983</v>
      </c>
      <c r="K11" s="1847">
        <f t="shared" si="0"/>
        <v>50.008099344006268</v>
      </c>
      <c r="L11" s="1848">
        <f t="shared" si="1"/>
        <v>0</v>
      </c>
      <c r="M11" s="1848">
        <f t="shared" si="2"/>
        <v>0</v>
      </c>
      <c r="N11" s="1848">
        <f t="shared" si="3"/>
        <v>0</v>
      </c>
      <c r="O11" s="1849">
        <f t="shared" si="4"/>
        <v>0</v>
      </c>
      <c r="P11" s="1849">
        <f t="shared" si="5"/>
        <v>0</v>
      </c>
      <c r="Q11" s="1849">
        <f t="shared" si="6"/>
        <v>0</v>
      </c>
      <c r="R11" s="1843" t="s">
        <v>1983</v>
      </c>
    </row>
    <row r="12" spans="1:18" ht="16.5">
      <c r="A12" s="1844" t="s">
        <v>1978</v>
      </c>
      <c r="B12" s="1844" t="s">
        <v>1979</v>
      </c>
      <c r="C12" s="1844" t="s">
        <v>1989</v>
      </c>
      <c r="D12" s="1844" t="s">
        <v>1987</v>
      </c>
      <c r="E12" s="1845"/>
      <c r="F12" s="1845"/>
      <c r="G12" s="1846">
        <v>10</v>
      </c>
      <c r="H12" s="1844" t="s">
        <v>1982</v>
      </c>
      <c r="I12" s="1846">
        <v>15</v>
      </c>
      <c r="J12" s="1844" t="s">
        <v>1982</v>
      </c>
      <c r="K12" s="1847">
        <f t="shared" si="0"/>
        <v>18.027756377319946</v>
      </c>
      <c r="L12" s="1848">
        <f t="shared" si="1"/>
        <v>0</v>
      </c>
      <c r="M12" s="1848">
        <f t="shared" si="2"/>
        <v>0</v>
      </c>
      <c r="N12" s="1848">
        <f t="shared" si="3"/>
        <v>0</v>
      </c>
      <c r="O12" s="1849">
        <f t="shared" si="4"/>
        <v>0</v>
      </c>
      <c r="P12" s="1849">
        <f t="shared" si="5"/>
        <v>0</v>
      </c>
      <c r="Q12" s="1849">
        <f t="shared" si="6"/>
        <v>0</v>
      </c>
      <c r="R12" s="1843" t="s">
        <v>1983</v>
      </c>
    </row>
    <row r="13" spans="1:18" ht="16.5">
      <c r="A13" s="1844" t="s">
        <v>1978</v>
      </c>
      <c r="B13" s="1844" t="s">
        <v>1979</v>
      </c>
      <c r="C13" s="1844" t="s">
        <v>1989</v>
      </c>
      <c r="D13" s="1844" t="s">
        <v>1984</v>
      </c>
      <c r="E13" s="1845"/>
      <c r="F13" s="1845"/>
      <c r="G13" s="1846">
        <v>9</v>
      </c>
      <c r="H13" s="1844" t="s">
        <v>1982</v>
      </c>
      <c r="I13" s="1846">
        <v>60</v>
      </c>
      <c r="J13" s="1844" t="s">
        <v>1983</v>
      </c>
      <c r="K13" s="1847">
        <f t="shared" si="0"/>
        <v>60.671245248470051</v>
      </c>
      <c r="L13" s="1848">
        <f t="shared" si="1"/>
        <v>0</v>
      </c>
      <c r="M13" s="1848">
        <f t="shared" si="2"/>
        <v>0</v>
      </c>
      <c r="N13" s="1848">
        <f t="shared" si="3"/>
        <v>0</v>
      </c>
      <c r="O13" s="1849">
        <f t="shared" si="4"/>
        <v>0</v>
      </c>
      <c r="P13" s="1849">
        <f t="shared" si="5"/>
        <v>0</v>
      </c>
      <c r="Q13" s="1849">
        <f t="shared" si="6"/>
        <v>0</v>
      </c>
      <c r="R13" s="1843" t="s">
        <v>1983</v>
      </c>
    </row>
    <row r="14" spans="1:18" ht="16.5">
      <c r="A14" s="1844" t="s">
        <v>1978</v>
      </c>
      <c r="B14" s="1844" t="s">
        <v>1979</v>
      </c>
      <c r="C14" s="1844" t="s">
        <v>1989</v>
      </c>
      <c r="D14" s="1844" t="s">
        <v>1985</v>
      </c>
      <c r="E14" s="1845"/>
      <c r="F14" s="1845"/>
      <c r="G14" s="1846">
        <v>9</v>
      </c>
      <c r="H14" s="1844" t="s">
        <v>1982</v>
      </c>
      <c r="I14" s="1846">
        <v>55</v>
      </c>
      <c r="J14" s="1844" t="s">
        <v>1983</v>
      </c>
      <c r="K14" s="1847">
        <f t="shared" si="0"/>
        <v>55.731499172371095</v>
      </c>
      <c r="L14" s="1848">
        <f t="shared" si="1"/>
        <v>0</v>
      </c>
      <c r="M14" s="1848">
        <f t="shared" si="2"/>
        <v>0</v>
      </c>
      <c r="N14" s="1848">
        <f t="shared" si="3"/>
        <v>0</v>
      </c>
      <c r="O14" s="1849">
        <f t="shared" si="4"/>
        <v>0</v>
      </c>
      <c r="P14" s="1849">
        <f t="shared" si="5"/>
        <v>0</v>
      </c>
      <c r="Q14" s="1849">
        <f t="shared" si="6"/>
        <v>0</v>
      </c>
      <c r="R14" s="1843" t="s">
        <v>1983</v>
      </c>
    </row>
    <row r="15" spans="1:18" ht="16.5">
      <c r="A15" s="1844" t="s">
        <v>1978</v>
      </c>
      <c r="B15" s="1844" t="s">
        <v>1979</v>
      </c>
      <c r="C15" s="1844" t="s">
        <v>1990</v>
      </c>
      <c r="D15" s="1844" t="s">
        <v>1987</v>
      </c>
      <c r="E15" s="1845"/>
      <c r="F15" s="1845"/>
      <c r="G15" s="1846">
        <v>2</v>
      </c>
      <c r="H15" s="1844" t="s">
        <v>1982</v>
      </c>
      <c r="I15" s="1846">
        <v>2</v>
      </c>
      <c r="J15" s="1844" t="s">
        <v>1982</v>
      </c>
      <c r="K15" s="1847">
        <f t="shared" si="0"/>
        <v>2.8284271247461903</v>
      </c>
      <c r="L15" s="1848">
        <f t="shared" si="1"/>
        <v>0</v>
      </c>
      <c r="M15" s="1848">
        <f t="shared" si="2"/>
        <v>0</v>
      </c>
      <c r="N15" s="1848">
        <f t="shared" si="3"/>
        <v>0</v>
      </c>
      <c r="O15" s="1849">
        <f t="shared" si="4"/>
        <v>0</v>
      </c>
      <c r="P15" s="1849">
        <f t="shared" si="5"/>
        <v>0</v>
      </c>
      <c r="Q15" s="1849">
        <f t="shared" si="6"/>
        <v>0</v>
      </c>
      <c r="R15" s="1843" t="s">
        <v>1983</v>
      </c>
    </row>
    <row r="16" spans="1:18" ht="16.5">
      <c r="A16" s="1844" t="s">
        <v>1978</v>
      </c>
      <c r="B16" s="1844" t="s">
        <v>1979</v>
      </c>
      <c r="C16" s="1844" t="s">
        <v>1990</v>
      </c>
      <c r="D16" s="1844" t="s">
        <v>1984</v>
      </c>
      <c r="E16" s="1845"/>
      <c r="F16" s="1845"/>
      <c r="G16" s="1846">
        <v>2</v>
      </c>
      <c r="H16" s="1844" t="s">
        <v>1982</v>
      </c>
      <c r="I16" s="1846">
        <v>60</v>
      </c>
      <c r="J16" s="1844" t="s">
        <v>1983</v>
      </c>
      <c r="K16" s="1847">
        <f t="shared" si="0"/>
        <v>60.033324079214538</v>
      </c>
      <c r="L16" s="1848">
        <f t="shared" si="1"/>
        <v>0</v>
      </c>
      <c r="M16" s="1848">
        <f t="shared" si="2"/>
        <v>0</v>
      </c>
      <c r="N16" s="1848">
        <f t="shared" si="3"/>
        <v>0</v>
      </c>
      <c r="O16" s="1849">
        <f t="shared" si="4"/>
        <v>0</v>
      </c>
      <c r="P16" s="1849">
        <f t="shared" si="5"/>
        <v>0</v>
      </c>
      <c r="Q16" s="1849">
        <f t="shared" si="6"/>
        <v>0</v>
      </c>
      <c r="R16" s="1843" t="s">
        <v>1983</v>
      </c>
    </row>
    <row r="17" spans="1:18" ht="16.5">
      <c r="A17" s="1844" t="s">
        <v>1978</v>
      </c>
      <c r="B17" s="1844" t="s">
        <v>1979</v>
      </c>
      <c r="C17" s="1844" t="s">
        <v>1990</v>
      </c>
      <c r="D17" s="1844" t="s">
        <v>1985</v>
      </c>
      <c r="E17" s="1845"/>
      <c r="F17" s="1845"/>
      <c r="G17" s="1846">
        <v>2</v>
      </c>
      <c r="H17" s="1844" t="s">
        <v>1982</v>
      </c>
      <c r="I17" s="1846">
        <v>60</v>
      </c>
      <c r="J17" s="1844" t="s">
        <v>1983</v>
      </c>
      <c r="K17" s="1847">
        <f t="shared" si="0"/>
        <v>60.033324079214538</v>
      </c>
      <c r="L17" s="1848">
        <f t="shared" si="1"/>
        <v>0</v>
      </c>
      <c r="M17" s="1848">
        <f t="shared" si="2"/>
        <v>0</v>
      </c>
      <c r="N17" s="1848">
        <f t="shared" si="3"/>
        <v>0</v>
      </c>
      <c r="O17" s="1849">
        <f t="shared" si="4"/>
        <v>0</v>
      </c>
      <c r="P17" s="1849">
        <f t="shared" si="5"/>
        <v>0</v>
      </c>
      <c r="Q17" s="1849">
        <f t="shared" si="6"/>
        <v>0</v>
      </c>
      <c r="R17" s="1843" t="s">
        <v>1983</v>
      </c>
    </row>
    <row r="18" spans="1:18" ht="16.5">
      <c r="A18" s="1844" t="s">
        <v>1978</v>
      </c>
      <c r="B18" s="1844" t="s">
        <v>1979</v>
      </c>
      <c r="C18" s="1844" t="s">
        <v>1991</v>
      </c>
      <c r="D18" s="1844" t="s">
        <v>1984</v>
      </c>
      <c r="E18" s="1845"/>
      <c r="F18" s="1845"/>
      <c r="G18" s="1846">
        <v>4.5</v>
      </c>
      <c r="H18" s="1844" t="s">
        <v>1982</v>
      </c>
      <c r="I18" s="1846">
        <v>55</v>
      </c>
      <c r="J18" s="1844" t="s">
        <v>1983</v>
      </c>
      <c r="K18" s="1847">
        <f t="shared" si="0"/>
        <v>55.183783849968101</v>
      </c>
      <c r="L18" s="1848">
        <f t="shared" si="1"/>
        <v>0</v>
      </c>
      <c r="M18" s="1848">
        <f t="shared" si="2"/>
        <v>0</v>
      </c>
      <c r="N18" s="1848">
        <f t="shared" si="3"/>
        <v>0</v>
      </c>
      <c r="O18" s="1849">
        <f t="shared" si="4"/>
        <v>0</v>
      </c>
      <c r="P18" s="1849">
        <f t="shared" si="5"/>
        <v>0</v>
      </c>
      <c r="Q18" s="1849">
        <f t="shared" si="6"/>
        <v>0</v>
      </c>
      <c r="R18" s="1843" t="s">
        <v>1983</v>
      </c>
    </row>
    <row r="19" spans="1:18" ht="16.5">
      <c r="A19" s="1844" t="s">
        <v>1978</v>
      </c>
      <c r="B19" s="1844" t="s">
        <v>1979</v>
      </c>
      <c r="C19" s="1844" t="s">
        <v>1991</v>
      </c>
      <c r="D19" s="1844" t="s">
        <v>1985</v>
      </c>
      <c r="E19" s="1845"/>
      <c r="F19" s="1845"/>
      <c r="G19" s="1846">
        <v>4.5</v>
      </c>
      <c r="H19" s="1844" t="s">
        <v>1982</v>
      </c>
      <c r="I19" s="1846">
        <v>55</v>
      </c>
      <c r="J19" s="1844" t="s">
        <v>1983</v>
      </c>
      <c r="K19" s="1847">
        <f t="shared" si="0"/>
        <v>55.183783849968101</v>
      </c>
      <c r="L19" s="1848">
        <f t="shared" si="1"/>
        <v>0</v>
      </c>
      <c r="M19" s="1848">
        <f t="shared" si="2"/>
        <v>0</v>
      </c>
      <c r="N19" s="1848">
        <f t="shared" si="3"/>
        <v>0</v>
      </c>
      <c r="O19" s="1849">
        <f t="shared" si="4"/>
        <v>0</v>
      </c>
      <c r="P19" s="1849">
        <f t="shared" si="5"/>
        <v>0</v>
      </c>
      <c r="Q19" s="1849">
        <f t="shared" si="6"/>
        <v>0</v>
      </c>
      <c r="R19" s="1843" t="s">
        <v>1983</v>
      </c>
    </row>
    <row r="20" spans="1:18" ht="16.5">
      <c r="A20" s="1844" t="s">
        <v>1978</v>
      </c>
      <c r="B20" s="1844" t="s">
        <v>1992</v>
      </c>
      <c r="C20" s="1844" t="s">
        <v>1993</v>
      </c>
      <c r="D20" s="1844" t="s">
        <v>1987</v>
      </c>
      <c r="E20" s="1845"/>
      <c r="F20" s="1845"/>
      <c r="G20" s="1846">
        <v>2</v>
      </c>
      <c r="H20" s="1844" t="s">
        <v>1982</v>
      </c>
      <c r="I20" s="1846">
        <v>1.2</v>
      </c>
      <c r="J20" s="1844" t="s">
        <v>1982</v>
      </c>
      <c r="K20" s="1847">
        <f t="shared" si="0"/>
        <v>2.3323807579381199</v>
      </c>
      <c r="L20" s="1848">
        <f t="shared" si="1"/>
        <v>0</v>
      </c>
      <c r="M20" s="1848">
        <f t="shared" si="2"/>
        <v>0</v>
      </c>
      <c r="N20" s="1848">
        <f t="shared" si="3"/>
        <v>0</v>
      </c>
      <c r="O20" s="1849">
        <f t="shared" si="4"/>
        <v>0</v>
      </c>
      <c r="P20" s="1849">
        <f t="shared" si="5"/>
        <v>0</v>
      </c>
      <c r="Q20" s="1849">
        <f t="shared" si="6"/>
        <v>0</v>
      </c>
      <c r="R20" s="1843" t="s">
        <v>1983</v>
      </c>
    </row>
    <row r="21" spans="1:18" ht="16.5">
      <c r="A21" s="1844" t="s">
        <v>1978</v>
      </c>
      <c r="B21" s="1844" t="s">
        <v>1992</v>
      </c>
      <c r="C21" s="1844" t="s">
        <v>1993</v>
      </c>
      <c r="D21" s="1844" t="s">
        <v>1984</v>
      </c>
      <c r="E21" s="1845"/>
      <c r="F21" s="1845"/>
      <c r="G21" s="1846">
        <v>2</v>
      </c>
      <c r="H21" s="1844" t="s">
        <v>1982</v>
      </c>
      <c r="I21" s="1846">
        <v>35</v>
      </c>
      <c r="J21" s="1844" t="s">
        <v>1982</v>
      </c>
      <c r="K21" s="1847">
        <f t="shared" si="0"/>
        <v>35.057096285916209</v>
      </c>
      <c r="L21" s="1848">
        <f t="shared" si="1"/>
        <v>0</v>
      </c>
      <c r="M21" s="1848">
        <f t="shared" si="2"/>
        <v>0</v>
      </c>
      <c r="N21" s="1848">
        <f t="shared" si="3"/>
        <v>0</v>
      </c>
      <c r="O21" s="1849">
        <f t="shared" si="4"/>
        <v>0</v>
      </c>
      <c r="P21" s="1849">
        <f t="shared" si="5"/>
        <v>0</v>
      </c>
      <c r="Q21" s="1849">
        <f t="shared" si="6"/>
        <v>0</v>
      </c>
      <c r="R21" s="1843" t="s">
        <v>1983</v>
      </c>
    </row>
    <row r="22" spans="1:18" ht="16.5">
      <c r="A22" s="1844" t="s">
        <v>1978</v>
      </c>
      <c r="B22" s="1844" t="s">
        <v>1992</v>
      </c>
      <c r="C22" s="1844" t="s">
        <v>1993</v>
      </c>
      <c r="D22" s="1844" t="s">
        <v>1985</v>
      </c>
      <c r="E22" s="1845"/>
      <c r="F22" s="1845"/>
      <c r="G22" s="1846">
        <v>2</v>
      </c>
      <c r="H22" s="1844" t="s">
        <v>1982</v>
      </c>
      <c r="I22" s="1846">
        <v>45</v>
      </c>
      <c r="J22" s="1844" t="s">
        <v>1982</v>
      </c>
      <c r="K22" s="1847">
        <f t="shared" si="0"/>
        <v>45.044422518220834</v>
      </c>
      <c r="L22" s="1848">
        <f t="shared" si="1"/>
        <v>0</v>
      </c>
      <c r="M22" s="1848">
        <f t="shared" si="2"/>
        <v>0</v>
      </c>
      <c r="N22" s="1848">
        <f t="shared" si="3"/>
        <v>0</v>
      </c>
      <c r="O22" s="1849">
        <f t="shared" si="4"/>
        <v>0</v>
      </c>
      <c r="P22" s="1849">
        <f t="shared" si="5"/>
        <v>0</v>
      </c>
      <c r="Q22" s="1849">
        <f t="shared" si="6"/>
        <v>0</v>
      </c>
      <c r="R22" s="1843" t="s">
        <v>1983</v>
      </c>
    </row>
    <row r="23" spans="1:18" ht="16.5">
      <c r="A23" s="1844" t="s">
        <v>1978</v>
      </c>
      <c r="B23" s="1844" t="s">
        <v>1992</v>
      </c>
      <c r="C23" s="1844" t="s">
        <v>1994</v>
      </c>
      <c r="D23" s="1844" t="s">
        <v>1987</v>
      </c>
      <c r="E23" s="1845"/>
      <c r="F23" s="1845"/>
      <c r="G23" s="1846">
        <v>1.7</v>
      </c>
      <c r="H23" s="1844" t="s">
        <v>1982</v>
      </c>
      <c r="I23" s="1846">
        <v>1.6</v>
      </c>
      <c r="J23" s="1844" t="s">
        <v>1982</v>
      </c>
      <c r="K23" s="1847">
        <f t="shared" si="0"/>
        <v>2.3345235059857505</v>
      </c>
      <c r="L23" s="1848">
        <f t="shared" si="1"/>
        <v>0</v>
      </c>
      <c r="M23" s="1848">
        <f t="shared" si="2"/>
        <v>0</v>
      </c>
      <c r="N23" s="1848">
        <f t="shared" si="3"/>
        <v>0</v>
      </c>
      <c r="O23" s="1849">
        <f t="shared" si="4"/>
        <v>0</v>
      </c>
      <c r="P23" s="1849">
        <f t="shared" si="5"/>
        <v>0</v>
      </c>
      <c r="Q23" s="1849">
        <f t="shared" si="6"/>
        <v>0</v>
      </c>
      <c r="R23" s="1843" t="s">
        <v>1983</v>
      </c>
    </row>
    <row r="24" spans="1:18" ht="16.5">
      <c r="A24" s="1844" t="s">
        <v>1978</v>
      </c>
      <c r="B24" s="1844" t="s">
        <v>1992</v>
      </c>
      <c r="C24" s="1844" t="s">
        <v>1994</v>
      </c>
      <c r="D24" s="1844" t="s">
        <v>1984</v>
      </c>
      <c r="E24" s="1845"/>
      <c r="F24" s="1845"/>
      <c r="G24" s="1846">
        <v>1.7</v>
      </c>
      <c r="H24" s="1844" t="s">
        <v>1982</v>
      </c>
      <c r="I24" s="1846">
        <v>25</v>
      </c>
      <c r="J24" s="1844" t="s">
        <v>1983</v>
      </c>
      <c r="K24" s="1847">
        <f t="shared" si="0"/>
        <v>25.057733337235433</v>
      </c>
      <c r="L24" s="1848">
        <f t="shared" si="1"/>
        <v>0</v>
      </c>
      <c r="M24" s="1848">
        <f t="shared" si="2"/>
        <v>0</v>
      </c>
      <c r="N24" s="1848">
        <f t="shared" si="3"/>
        <v>0</v>
      </c>
      <c r="O24" s="1849">
        <f t="shared" si="4"/>
        <v>0</v>
      </c>
      <c r="P24" s="1849">
        <f t="shared" si="5"/>
        <v>0</v>
      </c>
      <c r="Q24" s="1849">
        <f t="shared" si="6"/>
        <v>0</v>
      </c>
      <c r="R24" s="1843" t="s">
        <v>1983</v>
      </c>
    </row>
    <row r="25" spans="1:18" ht="16.5">
      <c r="A25" s="1844" t="s">
        <v>1978</v>
      </c>
      <c r="B25" s="1844" t="s">
        <v>1992</v>
      </c>
      <c r="C25" s="1844" t="s">
        <v>1994</v>
      </c>
      <c r="D25" s="1844" t="s">
        <v>1985</v>
      </c>
      <c r="E25" s="1845"/>
      <c r="F25" s="1845"/>
      <c r="G25" s="1846">
        <v>1.7</v>
      </c>
      <c r="H25" s="1844" t="s">
        <v>1982</v>
      </c>
      <c r="I25" s="1846">
        <v>50</v>
      </c>
      <c r="J25" s="1844" t="s">
        <v>1983</v>
      </c>
      <c r="K25" s="1847">
        <f t="shared" si="0"/>
        <v>50.028891652724027</v>
      </c>
      <c r="L25" s="1848">
        <f t="shared" si="1"/>
        <v>0</v>
      </c>
      <c r="M25" s="1848">
        <f t="shared" si="2"/>
        <v>0</v>
      </c>
      <c r="N25" s="1848">
        <f t="shared" si="3"/>
        <v>0</v>
      </c>
      <c r="O25" s="1849">
        <f t="shared" si="4"/>
        <v>0</v>
      </c>
      <c r="P25" s="1849">
        <f t="shared" si="5"/>
        <v>0</v>
      </c>
      <c r="Q25" s="1849">
        <f t="shared" si="6"/>
        <v>0</v>
      </c>
      <c r="R25" s="1843" t="s">
        <v>1983</v>
      </c>
    </row>
    <row r="26" spans="1:18" ht="16.5">
      <c r="A26" s="1844" t="s">
        <v>1978</v>
      </c>
      <c r="B26" s="1844" t="s">
        <v>1992</v>
      </c>
      <c r="C26" s="1844" t="s">
        <v>1995</v>
      </c>
      <c r="D26" s="1844" t="s">
        <v>1987</v>
      </c>
      <c r="E26" s="1845"/>
      <c r="F26" s="1845"/>
      <c r="G26" s="1846">
        <v>1.6</v>
      </c>
      <c r="H26" s="1844" t="s">
        <v>1982</v>
      </c>
      <c r="I26" s="1846">
        <v>0.4</v>
      </c>
      <c r="J26" s="1844" t="s">
        <v>1983</v>
      </c>
      <c r="K26" s="1847">
        <f t="shared" si="0"/>
        <v>1.6492422502470645</v>
      </c>
      <c r="L26" s="1848">
        <f t="shared" si="1"/>
        <v>0</v>
      </c>
      <c r="M26" s="1848">
        <f t="shared" si="2"/>
        <v>0</v>
      </c>
      <c r="N26" s="1848">
        <f t="shared" si="3"/>
        <v>0</v>
      </c>
      <c r="O26" s="1849">
        <f t="shared" si="4"/>
        <v>0</v>
      </c>
      <c r="P26" s="1849">
        <f t="shared" si="5"/>
        <v>0</v>
      </c>
      <c r="Q26" s="1849">
        <f t="shared" si="6"/>
        <v>0</v>
      </c>
      <c r="R26" s="1843" t="s">
        <v>1983</v>
      </c>
    </row>
    <row r="27" spans="1:18" ht="16.5">
      <c r="A27" s="1844" t="s">
        <v>1978</v>
      </c>
      <c r="B27" s="1844" t="s">
        <v>1992</v>
      </c>
      <c r="C27" s="1844" t="s">
        <v>1995</v>
      </c>
      <c r="D27" s="1844" t="s">
        <v>1984</v>
      </c>
      <c r="E27" s="1845"/>
      <c r="F27" s="1845"/>
      <c r="G27" s="1846">
        <v>1.6</v>
      </c>
      <c r="H27" s="1844" t="s">
        <v>1982</v>
      </c>
      <c r="I27" s="1846">
        <v>40</v>
      </c>
      <c r="J27" s="1844" t="s">
        <v>1983</v>
      </c>
      <c r="K27" s="1847">
        <f t="shared" si="0"/>
        <v>40.031987210229772</v>
      </c>
      <c r="L27" s="1848">
        <f t="shared" si="1"/>
        <v>0</v>
      </c>
      <c r="M27" s="1848">
        <f t="shared" si="2"/>
        <v>0</v>
      </c>
      <c r="N27" s="1848">
        <f t="shared" si="3"/>
        <v>0</v>
      </c>
      <c r="O27" s="1849">
        <f t="shared" si="4"/>
        <v>0</v>
      </c>
      <c r="P27" s="1849">
        <f t="shared" si="5"/>
        <v>0</v>
      </c>
      <c r="Q27" s="1849">
        <f t="shared" si="6"/>
        <v>0</v>
      </c>
      <c r="R27" s="1843" t="s">
        <v>1983</v>
      </c>
    </row>
    <row r="28" spans="1:18" ht="16.5">
      <c r="A28" s="1844" t="s">
        <v>1978</v>
      </c>
      <c r="B28" s="1844" t="s">
        <v>1992</v>
      </c>
      <c r="C28" s="1844" t="s">
        <v>1995</v>
      </c>
      <c r="D28" s="1844" t="s">
        <v>1985</v>
      </c>
      <c r="E28" s="1845"/>
      <c r="F28" s="1845"/>
      <c r="G28" s="1846">
        <v>1.6</v>
      </c>
      <c r="H28" s="1844" t="s">
        <v>1982</v>
      </c>
      <c r="I28" s="1846">
        <v>45</v>
      </c>
      <c r="J28" s="1844" t="s">
        <v>1983</v>
      </c>
      <c r="K28" s="1847">
        <f t="shared" si="0"/>
        <v>45.028435460273322</v>
      </c>
      <c r="L28" s="1848">
        <f t="shared" si="1"/>
        <v>0</v>
      </c>
      <c r="M28" s="1848">
        <f t="shared" si="2"/>
        <v>0</v>
      </c>
      <c r="N28" s="1848">
        <f t="shared" si="3"/>
        <v>0</v>
      </c>
      <c r="O28" s="1849">
        <f t="shared" si="4"/>
        <v>0</v>
      </c>
      <c r="P28" s="1849">
        <f t="shared" si="5"/>
        <v>0</v>
      </c>
      <c r="Q28" s="1849">
        <f t="shared" si="6"/>
        <v>0</v>
      </c>
      <c r="R28" s="1843" t="s">
        <v>1983</v>
      </c>
    </row>
    <row r="29" spans="1:18" ht="16.5">
      <c r="A29" s="1844" t="s">
        <v>1978</v>
      </c>
      <c r="B29" s="1844" t="s">
        <v>1992</v>
      </c>
      <c r="C29" s="1844" t="s">
        <v>1996</v>
      </c>
      <c r="D29" s="1844" t="s">
        <v>1987</v>
      </c>
      <c r="E29" s="1845"/>
      <c r="F29" s="1845"/>
      <c r="G29" s="1846">
        <v>5.5</v>
      </c>
      <c r="H29" s="1844" t="s">
        <v>1982</v>
      </c>
      <c r="I29" s="1846">
        <v>8</v>
      </c>
      <c r="J29" s="1844" t="s">
        <v>1982</v>
      </c>
      <c r="K29" s="1847">
        <f t="shared" si="0"/>
        <v>9.7082439194737997</v>
      </c>
      <c r="L29" s="1848">
        <f t="shared" si="1"/>
        <v>0</v>
      </c>
      <c r="M29" s="1848">
        <f t="shared" si="2"/>
        <v>0</v>
      </c>
      <c r="N29" s="1848">
        <f t="shared" si="3"/>
        <v>0</v>
      </c>
      <c r="O29" s="1849">
        <f t="shared" si="4"/>
        <v>0</v>
      </c>
      <c r="P29" s="1849">
        <f t="shared" si="5"/>
        <v>0</v>
      </c>
      <c r="Q29" s="1849">
        <f t="shared" si="6"/>
        <v>0</v>
      </c>
      <c r="R29" s="1843" t="s">
        <v>1983</v>
      </c>
    </row>
    <row r="30" spans="1:18" ht="16.5">
      <c r="A30" s="1844" t="s">
        <v>1978</v>
      </c>
      <c r="B30" s="1844" t="s">
        <v>1992</v>
      </c>
      <c r="C30" s="1844" t="s">
        <v>1996</v>
      </c>
      <c r="D30" s="1844" t="s">
        <v>1984</v>
      </c>
      <c r="E30" s="1845"/>
      <c r="F30" s="1845"/>
      <c r="G30" s="1846">
        <v>5.5</v>
      </c>
      <c r="H30" s="1844" t="s">
        <v>1982</v>
      </c>
      <c r="I30" s="1846">
        <v>40</v>
      </c>
      <c r="J30" s="1844" t="s">
        <v>1983</v>
      </c>
      <c r="K30" s="1847">
        <f t="shared" si="0"/>
        <v>40.376354466444837</v>
      </c>
      <c r="L30" s="1848">
        <f t="shared" si="1"/>
        <v>0</v>
      </c>
      <c r="M30" s="1848">
        <f t="shared" si="2"/>
        <v>0</v>
      </c>
      <c r="N30" s="1848">
        <f t="shared" si="3"/>
        <v>0</v>
      </c>
      <c r="O30" s="1849">
        <f t="shared" si="4"/>
        <v>0</v>
      </c>
      <c r="P30" s="1849">
        <f t="shared" si="5"/>
        <v>0</v>
      </c>
      <c r="Q30" s="1849">
        <f t="shared" si="6"/>
        <v>0</v>
      </c>
      <c r="R30" s="1843" t="s">
        <v>1983</v>
      </c>
    </row>
    <row r="31" spans="1:18" ht="16.5">
      <c r="A31" s="1844" t="s">
        <v>1978</v>
      </c>
      <c r="B31" s="1844" t="s">
        <v>1992</v>
      </c>
      <c r="C31" s="1844" t="s">
        <v>1996</v>
      </c>
      <c r="D31" s="1844" t="s">
        <v>1985</v>
      </c>
      <c r="E31" s="1845"/>
      <c r="F31" s="1845"/>
      <c r="G31" s="1846">
        <v>5.5</v>
      </c>
      <c r="H31" s="1844" t="s">
        <v>1982</v>
      </c>
      <c r="I31" s="1846">
        <v>30</v>
      </c>
      <c r="J31" s="1844" t="s">
        <v>1983</v>
      </c>
      <c r="K31" s="1847">
        <f t="shared" si="0"/>
        <v>30.5</v>
      </c>
      <c r="L31" s="1848">
        <f t="shared" si="1"/>
        <v>0</v>
      </c>
      <c r="M31" s="1848">
        <f t="shared" si="2"/>
        <v>0</v>
      </c>
      <c r="N31" s="1848">
        <f t="shared" si="3"/>
        <v>0</v>
      </c>
      <c r="O31" s="1849">
        <f t="shared" si="4"/>
        <v>0</v>
      </c>
      <c r="P31" s="1849">
        <f t="shared" si="5"/>
        <v>0</v>
      </c>
      <c r="Q31" s="1849">
        <f t="shared" si="6"/>
        <v>0</v>
      </c>
      <c r="R31" s="1843" t="s">
        <v>1983</v>
      </c>
    </row>
    <row r="32" spans="1:18" ht="16.5">
      <c r="A32" s="1844" t="s">
        <v>1978</v>
      </c>
      <c r="B32" s="1844" t="s">
        <v>1992</v>
      </c>
      <c r="C32" s="1844" t="s">
        <v>1997</v>
      </c>
      <c r="D32" s="1844" t="s">
        <v>1987</v>
      </c>
      <c r="E32" s="1845"/>
      <c r="F32" s="1845"/>
      <c r="G32" s="1846">
        <v>2</v>
      </c>
      <c r="H32" s="1844" t="s">
        <v>1982</v>
      </c>
      <c r="I32" s="1846">
        <v>2</v>
      </c>
      <c r="J32" s="1844" t="s">
        <v>1983</v>
      </c>
      <c r="K32" s="1847">
        <f t="shared" si="0"/>
        <v>2.8284271247461903</v>
      </c>
      <c r="L32" s="1848">
        <f t="shared" si="1"/>
        <v>0</v>
      </c>
      <c r="M32" s="1848">
        <f t="shared" si="2"/>
        <v>0</v>
      </c>
      <c r="N32" s="1848">
        <f t="shared" si="3"/>
        <v>0</v>
      </c>
      <c r="O32" s="1849">
        <f t="shared" si="4"/>
        <v>0</v>
      </c>
      <c r="P32" s="1849">
        <f t="shared" si="5"/>
        <v>0</v>
      </c>
      <c r="Q32" s="1849">
        <f t="shared" si="6"/>
        <v>0</v>
      </c>
      <c r="R32" s="1843" t="s">
        <v>1983</v>
      </c>
    </row>
    <row r="33" spans="1:18" ht="16.5">
      <c r="A33" s="1844" t="s">
        <v>1978</v>
      </c>
      <c r="B33" s="1844" t="s">
        <v>1992</v>
      </c>
      <c r="C33" s="1844" t="s">
        <v>1997</v>
      </c>
      <c r="D33" s="1844" t="s">
        <v>1984</v>
      </c>
      <c r="E33" s="1845"/>
      <c r="F33" s="1845"/>
      <c r="G33" s="1846">
        <v>2</v>
      </c>
      <c r="H33" s="1844" t="s">
        <v>1982</v>
      </c>
      <c r="I33" s="1846">
        <v>55</v>
      </c>
      <c r="J33" s="1844" t="s">
        <v>1983</v>
      </c>
      <c r="K33" s="1847">
        <f t="shared" si="0"/>
        <v>55.036351623268054</v>
      </c>
      <c r="L33" s="1848">
        <f t="shared" si="1"/>
        <v>0</v>
      </c>
      <c r="M33" s="1848">
        <f t="shared" si="2"/>
        <v>0</v>
      </c>
      <c r="N33" s="1848">
        <f t="shared" si="3"/>
        <v>0</v>
      </c>
      <c r="O33" s="1849">
        <f t="shared" si="4"/>
        <v>0</v>
      </c>
      <c r="P33" s="1849">
        <f t="shared" si="5"/>
        <v>0</v>
      </c>
      <c r="Q33" s="1849">
        <f t="shared" si="6"/>
        <v>0</v>
      </c>
      <c r="R33" s="1843" t="s">
        <v>1983</v>
      </c>
    </row>
    <row r="34" spans="1:18" ht="16.5">
      <c r="A34" s="1844" t="s">
        <v>1978</v>
      </c>
      <c r="B34" s="1844" t="s">
        <v>1992</v>
      </c>
      <c r="C34" s="1844" t="s">
        <v>1997</v>
      </c>
      <c r="D34" s="1844" t="s">
        <v>1985</v>
      </c>
      <c r="E34" s="1845"/>
      <c r="F34" s="1845"/>
      <c r="G34" s="1846">
        <v>2</v>
      </c>
      <c r="H34" s="1844" t="s">
        <v>1982</v>
      </c>
      <c r="I34" s="1846">
        <v>60</v>
      </c>
      <c r="J34" s="1844" t="s">
        <v>1983</v>
      </c>
      <c r="K34" s="1847">
        <f t="shared" si="0"/>
        <v>60.033324079214538</v>
      </c>
      <c r="L34" s="1848">
        <f t="shared" si="1"/>
        <v>0</v>
      </c>
      <c r="M34" s="1848">
        <f t="shared" si="2"/>
        <v>0</v>
      </c>
      <c r="N34" s="1848">
        <f t="shared" si="3"/>
        <v>0</v>
      </c>
      <c r="O34" s="1849">
        <f t="shared" si="4"/>
        <v>0</v>
      </c>
      <c r="P34" s="1849">
        <f t="shared" si="5"/>
        <v>0</v>
      </c>
      <c r="Q34" s="1849">
        <f t="shared" si="6"/>
        <v>0</v>
      </c>
      <c r="R34" s="1843" t="s">
        <v>1983</v>
      </c>
    </row>
    <row r="35" spans="1:18" ht="16.5">
      <c r="A35" s="1844" t="s">
        <v>1978</v>
      </c>
      <c r="B35" s="1844" t="s">
        <v>1992</v>
      </c>
      <c r="C35" s="1844" t="s">
        <v>1998</v>
      </c>
      <c r="D35" s="1844" t="s">
        <v>1984</v>
      </c>
      <c r="E35" s="1845"/>
      <c r="F35" s="1845"/>
      <c r="G35" s="1846">
        <v>1.8</v>
      </c>
      <c r="H35" s="1844" t="s">
        <v>1982</v>
      </c>
      <c r="I35" s="1846">
        <v>30</v>
      </c>
      <c r="J35" s="1844" t="s">
        <v>1983</v>
      </c>
      <c r="K35" s="1847">
        <f t="shared" si="0"/>
        <v>30.053951487283666</v>
      </c>
      <c r="L35" s="1848">
        <f t="shared" ref="L35:L66" si="7">(K35*F35)^2/F$200^2</f>
        <v>0</v>
      </c>
      <c r="M35" s="1848">
        <f t="shared" ref="M35:M66" si="8">ABS(((0.01*F35+$F$200-(0.01*E35+$E$200))/(0.01*E35+$E$200))*100-(($F$200-$E$200)/$E$200)*100)</f>
        <v>0</v>
      </c>
      <c r="N35" s="1848">
        <f t="shared" ref="N35:N66" si="9">ABS(F35/$E$200)</f>
        <v>0</v>
      </c>
      <c r="O35" s="1849">
        <f t="shared" si="4"/>
        <v>0</v>
      </c>
      <c r="P35" s="1849">
        <f t="shared" si="5"/>
        <v>0</v>
      </c>
      <c r="Q35" s="1849">
        <f t="shared" si="6"/>
        <v>0</v>
      </c>
      <c r="R35" s="1843" t="s">
        <v>1983</v>
      </c>
    </row>
    <row r="36" spans="1:18" ht="16.5">
      <c r="A36" s="1844" t="s">
        <v>1978</v>
      </c>
      <c r="B36" s="1844" t="s">
        <v>1992</v>
      </c>
      <c r="C36" s="1844" t="s">
        <v>1998</v>
      </c>
      <c r="D36" s="1844" t="s">
        <v>1985</v>
      </c>
      <c r="E36" s="1845"/>
      <c r="F36" s="1845"/>
      <c r="G36" s="1846">
        <v>1.8</v>
      </c>
      <c r="H36" s="1844" t="s">
        <v>1982</v>
      </c>
      <c r="I36" s="1846">
        <v>40</v>
      </c>
      <c r="J36" s="1844" t="s">
        <v>1983</v>
      </c>
      <c r="K36" s="1847">
        <f t="shared" si="0"/>
        <v>40.040479517608176</v>
      </c>
      <c r="L36" s="1848">
        <f t="shared" si="7"/>
        <v>0</v>
      </c>
      <c r="M36" s="1848">
        <f t="shared" si="8"/>
        <v>0</v>
      </c>
      <c r="N36" s="1848">
        <f t="shared" si="9"/>
        <v>0</v>
      </c>
      <c r="O36" s="1849">
        <f t="shared" si="4"/>
        <v>0</v>
      </c>
      <c r="P36" s="1849">
        <f t="shared" si="5"/>
        <v>0</v>
      </c>
      <c r="Q36" s="1849">
        <f t="shared" si="6"/>
        <v>0</v>
      </c>
      <c r="R36" s="1843" t="s">
        <v>1983</v>
      </c>
    </row>
    <row r="37" spans="1:18" ht="16.5">
      <c r="A37" s="1844" t="s">
        <v>1978</v>
      </c>
      <c r="B37" s="1844" t="s">
        <v>1999</v>
      </c>
      <c r="C37" s="1844" t="s">
        <v>2000</v>
      </c>
      <c r="D37" s="1844" t="s">
        <v>1987</v>
      </c>
      <c r="E37" s="1845"/>
      <c r="F37" s="1845"/>
      <c r="G37" s="1846">
        <v>5</v>
      </c>
      <c r="H37" s="1844" t="s">
        <v>1982</v>
      </c>
      <c r="I37" s="1846">
        <v>2</v>
      </c>
      <c r="J37" s="1844" t="s">
        <v>1983</v>
      </c>
      <c r="K37" s="1847">
        <f t="shared" si="0"/>
        <v>5.3851648071345037</v>
      </c>
      <c r="L37" s="1848">
        <f t="shared" si="7"/>
        <v>0</v>
      </c>
      <c r="M37" s="1848">
        <f t="shared" si="8"/>
        <v>0</v>
      </c>
      <c r="N37" s="1848">
        <f t="shared" si="9"/>
        <v>0</v>
      </c>
      <c r="O37" s="1849">
        <f t="shared" si="4"/>
        <v>0</v>
      </c>
      <c r="P37" s="1849">
        <f t="shared" si="5"/>
        <v>0</v>
      </c>
      <c r="Q37" s="1849">
        <f t="shared" si="6"/>
        <v>0</v>
      </c>
      <c r="R37" s="1843" t="s">
        <v>1982</v>
      </c>
    </row>
    <row r="38" spans="1:18" ht="16.5">
      <c r="A38" s="1844" t="s">
        <v>1978</v>
      </c>
      <c r="B38" s="1844" t="s">
        <v>1999</v>
      </c>
      <c r="C38" s="1844" t="s">
        <v>2000</v>
      </c>
      <c r="D38" s="1844" t="s">
        <v>1984</v>
      </c>
      <c r="E38" s="1845"/>
      <c r="F38" s="1845"/>
      <c r="G38" s="1846">
        <v>5</v>
      </c>
      <c r="H38" s="1844" t="s">
        <v>1982</v>
      </c>
      <c r="I38" s="1846">
        <v>60</v>
      </c>
      <c r="J38" s="1844" t="s">
        <v>1983</v>
      </c>
      <c r="K38" s="1847">
        <f t="shared" si="0"/>
        <v>60.207972893961475</v>
      </c>
      <c r="L38" s="1848">
        <f t="shared" si="7"/>
        <v>0</v>
      </c>
      <c r="M38" s="1848">
        <f t="shared" si="8"/>
        <v>0</v>
      </c>
      <c r="N38" s="1848">
        <f t="shared" si="9"/>
        <v>0</v>
      </c>
      <c r="O38" s="1849">
        <f t="shared" si="4"/>
        <v>0</v>
      </c>
      <c r="P38" s="1849">
        <f t="shared" si="5"/>
        <v>0</v>
      </c>
      <c r="Q38" s="1849">
        <f t="shared" si="6"/>
        <v>0</v>
      </c>
      <c r="R38" s="1843" t="s">
        <v>1982</v>
      </c>
    </row>
    <row r="39" spans="1:18" ht="16.5">
      <c r="A39" s="1844" t="s">
        <v>1978</v>
      </c>
      <c r="B39" s="1844" t="s">
        <v>1999</v>
      </c>
      <c r="C39" s="1844" t="s">
        <v>2000</v>
      </c>
      <c r="D39" s="1844" t="s">
        <v>1985</v>
      </c>
      <c r="E39" s="1845"/>
      <c r="F39" s="1845"/>
      <c r="G39" s="1846">
        <v>5</v>
      </c>
      <c r="H39" s="1844" t="s">
        <v>1982</v>
      </c>
      <c r="I39" s="1846">
        <v>150</v>
      </c>
      <c r="J39" s="1844" t="s">
        <v>1983</v>
      </c>
      <c r="K39" s="1847">
        <f t="shared" si="0"/>
        <v>150.08331019803634</v>
      </c>
      <c r="L39" s="1848">
        <f t="shared" si="7"/>
        <v>0</v>
      </c>
      <c r="M39" s="1848">
        <f t="shared" si="8"/>
        <v>0</v>
      </c>
      <c r="N39" s="1848">
        <f t="shared" si="9"/>
        <v>0</v>
      </c>
      <c r="O39" s="1849">
        <f t="shared" si="4"/>
        <v>0</v>
      </c>
      <c r="P39" s="1849">
        <f t="shared" si="5"/>
        <v>0</v>
      </c>
      <c r="Q39" s="1849">
        <f t="shared" si="6"/>
        <v>0</v>
      </c>
      <c r="R39" s="1843" t="s">
        <v>1982</v>
      </c>
    </row>
    <row r="40" spans="1:18" ht="16.5">
      <c r="A40" s="1844" t="s">
        <v>1978</v>
      </c>
      <c r="B40" s="1844" t="s">
        <v>2001</v>
      </c>
      <c r="C40" s="1844" t="s">
        <v>2002</v>
      </c>
      <c r="D40" s="1844" t="s">
        <v>1987</v>
      </c>
      <c r="E40" s="1845"/>
      <c r="F40" s="1845"/>
      <c r="G40" s="1846">
        <v>1</v>
      </c>
      <c r="H40" s="1844" t="s">
        <v>1982</v>
      </c>
      <c r="I40" s="1846">
        <v>1.5</v>
      </c>
      <c r="J40" s="1844" t="s">
        <v>1982</v>
      </c>
      <c r="K40" s="1847">
        <f t="shared" si="0"/>
        <v>1.8027756377319946</v>
      </c>
      <c r="L40" s="1848">
        <f t="shared" si="7"/>
        <v>0</v>
      </c>
      <c r="M40" s="1848">
        <f t="shared" si="8"/>
        <v>0</v>
      </c>
      <c r="N40" s="1848">
        <f t="shared" si="9"/>
        <v>0</v>
      </c>
      <c r="O40" s="1849">
        <f t="shared" si="4"/>
        <v>0</v>
      </c>
      <c r="P40" s="1849">
        <f t="shared" si="5"/>
        <v>0</v>
      </c>
      <c r="Q40" s="1849">
        <f t="shared" si="6"/>
        <v>0</v>
      </c>
      <c r="R40" s="1843" t="s">
        <v>1982</v>
      </c>
    </row>
    <row r="41" spans="1:18" ht="16.5">
      <c r="A41" s="1844" t="s">
        <v>1978</v>
      </c>
      <c r="B41" s="1844" t="s">
        <v>2001</v>
      </c>
      <c r="C41" s="1844" t="s">
        <v>2002</v>
      </c>
      <c r="D41" s="1844" t="s">
        <v>1984</v>
      </c>
      <c r="E41" s="1845"/>
      <c r="F41" s="1845"/>
      <c r="G41" s="1846">
        <v>1</v>
      </c>
      <c r="H41" s="1844" t="s">
        <v>1982</v>
      </c>
      <c r="I41" s="1846">
        <v>60</v>
      </c>
      <c r="J41" s="1844" t="s">
        <v>1982</v>
      </c>
      <c r="K41" s="1847">
        <f t="shared" si="0"/>
        <v>60.00833275470999</v>
      </c>
      <c r="L41" s="1848">
        <f t="shared" si="7"/>
        <v>0</v>
      </c>
      <c r="M41" s="1848">
        <f t="shared" si="8"/>
        <v>0</v>
      </c>
      <c r="N41" s="1848">
        <f t="shared" si="9"/>
        <v>0</v>
      </c>
      <c r="O41" s="1849">
        <f t="shared" si="4"/>
        <v>0</v>
      </c>
      <c r="P41" s="1849">
        <f t="shared" si="5"/>
        <v>0</v>
      </c>
      <c r="Q41" s="1849">
        <f t="shared" si="6"/>
        <v>0</v>
      </c>
      <c r="R41" s="1843" t="s">
        <v>1982</v>
      </c>
    </row>
    <row r="42" spans="1:18" ht="16.5">
      <c r="A42" s="1844" t="s">
        <v>1978</v>
      </c>
      <c r="B42" s="1844" t="s">
        <v>2001</v>
      </c>
      <c r="C42" s="1844" t="s">
        <v>2002</v>
      </c>
      <c r="D42" s="1844" t="s">
        <v>1985</v>
      </c>
      <c r="E42" s="1845"/>
      <c r="F42" s="1845"/>
      <c r="G42" s="1846">
        <v>1</v>
      </c>
      <c r="H42" s="1844" t="s">
        <v>1982</v>
      </c>
      <c r="I42" s="1846">
        <v>140</v>
      </c>
      <c r="J42" s="1844" t="s">
        <v>1982</v>
      </c>
      <c r="K42" s="1847">
        <f t="shared" si="0"/>
        <v>140.00357138301865</v>
      </c>
      <c r="L42" s="1848">
        <f t="shared" si="7"/>
        <v>0</v>
      </c>
      <c r="M42" s="1848">
        <f t="shared" si="8"/>
        <v>0</v>
      </c>
      <c r="N42" s="1848">
        <f t="shared" si="9"/>
        <v>0</v>
      </c>
      <c r="O42" s="1849">
        <f t="shared" si="4"/>
        <v>0</v>
      </c>
      <c r="P42" s="1849">
        <f t="shared" si="5"/>
        <v>0</v>
      </c>
      <c r="Q42" s="1849">
        <f t="shared" si="6"/>
        <v>0</v>
      </c>
      <c r="R42" s="1843" t="s">
        <v>1982</v>
      </c>
    </row>
    <row r="43" spans="1:18" ht="16.5">
      <c r="A43" s="1844" t="s">
        <v>1978</v>
      </c>
      <c r="B43" s="1844" t="s">
        <v>2001</v>
      </c>
      <c r="C43" s="1844" t="s">
        <v>2003</v>
      </c>
      <c r="D43" s="1844" t="s">
        <v>1987</v>
      </c>
      <c r="E43" s="1845"/>
      <c r="F43" s="1845"/>
      <c r="G43" s="1846">
        <v>2</v>
      </c>
      <c r="H43" s="1844" t="s">
        <v>1982</v>
      </c>
      <c r="I43" s="1846">
        <v>2</v>
      </c>
      <c r="J43" s="1844" t="s">
        <v>1982</v>
      </c>
      <c r="K43" s="1847">
        <f t="shared" si="0"/>
        <v>2.8284271247461903</v>
      </c>
      <c r="L43" s="1848">
        <f t="shared" si="7"/>
        <v>0</v>
      </c>
      <c r="M43" s="1848">
        <f t="shared" si="8"/>
        <v>0</v>
      </c>
      <c r="N43" s="1848">
        <f t="shared" si="9"/>
        <v>0</v>
      </c>
      <c r="O43" s="1849">
        <f t="shared" si="4"/>
        <v>0</v>
      </c>
      <c r="P43" s="1849">
        <f t="shared" si="5"/>
        <v>0</v>
      </c>
      <c r="Q43" s="1849">
        <f t="shared" si="6"/>
        <v>0</v>
      </c>
      <c r="R43" s="1843" t="s">
        <v>1982</v>
      </c>
    </row>
    <row r="44" spans="1:18" ht="16.5">
      <c r="A44" s="1844" t="s">
        <v>1978</v>
      </c>
      <c r="B44" s="1844" t="s">
        <v>2001</v>
      </c>
      <c r="C44" s="1844" t="s">
        <v>2003</v>
      </c>
      <c r="D44" s="1844" t="s">
        <v>1984</v>
      </c>
      <c r="E44" s="1845"/>
      <c r="F44" s="1845"/>
      <c r="G44" s="1846">
        <v>2</v>
      </c>
      <c r="H44" s="1844" t="s">
        <v>1982</v>
      </c>
      <c r="I44" s="1846">
        <v>60</v>
      </c>
      <c r="J44" s="1844" t="s">
        <v>1982</v>
      </c>
      <c r="K44" s="1847">
        <f t="shared" si="0"/>
        <v>60.033324079214538</v>
      </c>
      <c r="L44" s="1848">
        <f t="shared" si="7"/>
        <v>0</v>
      </c>
      <c r="M44" s="1848">
        <f t="shared" si="8"/>
        <v>0</v>
      </c>
      <c r="N44" s="1848">
        <f t="shared" si="9"/>
        <v>0</v>
      </c>
      <c r="O44" s="1849">
        <f t="shared" si="4"/>
        <v>0</v>
      </c>
      <c r="P44" s="1849">
        <f t="shared" si="5"/>
        <v>0</v>
      </c>
      <c r="Q44" s="1849">
        <f t="shared" si="6"/>
        <v>0</v>
      </c>
      <c r="R44" s="1843" t="s">
        <v>1982</v>
      </c>
    </row>
    <row r="45" spans="1:18" ht="16.5">
      <c r="A45" s="1844" t="s">
        <v>1978</v>
      </c>
      <c r="B45" s="1844" t="s">
        <v>2001</v>
      </c>
      <c r="C45" s="1844" t="s">
        <v>2003</v>
      </c>
      <c r="D45" s="1844" t="s">
        <v>1985</v>
      </c>
      <c r="E45" s="1845"/>
      <c r="F45" s="1845"/>
      <c r="G45" s="1846">
        <v>2</v>
      </c>
      <c r="H45" s="1844" t="s">
        <v>1982</v>
      </c>
      <c r="I45" s="1846">
        <v>150</v>
      </c>
      <c r="J45" s="1844" t="s">
        <v>1982</v>
      </c>
      <c r="K45" s="1847">
        <f t="shared" si="0"/>
        <v>150.0133327407934</v>
      </c>
      <c r="L45" s="1848">
        <f t="shared" si="7"/>
        <v>0</v>
      </c>
      <c r="M45" s="1848">
        <f t="shared" si="8"/>
        <v>0</v>
      </c>
      <c r="N45" s="1848">
        <f t="shared" si="9"/>
        <v>0</v>
      </c>
      <c r="O45" s="1849">
        <f t="shared" si="4"/>
        <v>0</v>
      </c>
      <c r="P45" s="1849">
        <f t="shared" si="5"/>
        <v>0</v>
      </c>
      <c r="Q45" s="1849">
        <f t="shared" si="6"/>
        <v>0</v>
      </c>
      <c r="R45" s="1843" t="s">
        <v>1982</v>
      </c>
    </row>
    <row r="46" spans="1:18" ht="16.5">
      <c r="A46" s="1844" t="s">
        <v>1978</v>
      </c>
      <c r="B46" s="1844" t="s">
        <v>2001</v>
      </c>
      <c r="C46" s="1844" t="s">
        <v>2004</v>
      </c>
      <c r="D46" s="1844" t="s">
        <v>1987</v>
      </c>
      <c r="E46" s="1845"/>
      <c r="F46" s="1845"/>
      <c r="G46" s="1846">
        <v>3</v>
      </c>
      <c r="H46" s="1844" t="s">
        <v>1982</v>
      </c>
      <c r="I46" s="1846">
        <v>0.5</v>
      </c>
      <c r="J46" s="1844" t="s">
        <v>1982</v>
      </c>
      <c r="K46" s="1847">
        <f t="shared" si="0"/>
        <v>3.0413812651491097</v>
      </c>
      <c r="L46" s="1848">
        <f t="shared" si="7"/>
        <v>0</v>
      </c>
      <c r="M46" s="1848">
        <f t="shared" si="8"/>
        <v>0</v>
      </c>
      <c r="N46" s="1848">
        <f t="shared" si="9"/>
        <v>0</v>
      </c>
      <c r="O46" s="1849">
        <f t="shared" si="4"/>
        <v>0</v>
      </c>
      <c r="P46" s="1849">
        <f t="shared" si="5"/>
        <v>0</v>
      </c>
      <c r="Q46" s="1849">
        <f t="shared" si="6"/>
        <v>0</v>
      </c>
      <c r="R46" s="1843" t="s">
        <v>1982</v>
      </c>
    </row>
    <row r="47" spans="1:18" ht="16.5">
      <c r="A47" s="1844" t="s">
        <v>1978</v>
      </c>
      <c r="B47" s="1844" t="s">
        <v>2001</v>
      </c>
      <c r="C47" s="1844" t="s">
        <v>2004</v>
      </c>
      <c r="D47" s="1844" t="s">
        <v>1984</v>
      </c>
      <c r="E47" s="1845"/>
      <c r="F47" s="1845"/>
      <c r="G47" s="1846">
        <v>3</v>
      </c>
      <c r="H47" s="1844" t="s">
        <v>1982</v>
      </c>
      <c r="I47" s="1846">
        <v>60</v>
      </c>
      <c r="J47" s="1844" t="s">
        <v>1982</v>
      </c>
      <c r="K47" s="1847">
        <f t="shared" si="0"/>
        <v>60.074953183502359</v>
      </c>
      <c r="L47" s="1848">
        <f t="shared" si="7"/>
        <v>0</v>
      </c>
      <c r="M47" s="1848">
        <f t="shared" si="8"/>
        <v>0</v>
      </c>
      <c r="N47" s="1848">
        <f t="shared" si="9"/>
        <v>0</v>
      </c>
      <c r="O47" s="1849">
        <f t="shared" si="4"/>
        <v>0</v>
      </c>
      <c r="P47" s="1849">
        <f t="shared" si="5"/>
        <v>0</v>
      </c>
      <c r="Q47" s="1849">
        <f t="shared" si="6"/>
        <v>0</v>
      </c>
      <c r="R47" s="1843" t="s">
        <v>1982</v>
      </c>
    </row>
    <row r="48" spans="1:18" ht="16.5">
      <c r="A48" s="1844" t="s">
        <v>1978</v>
      </c>
      <c r="B48" s="1844" t="s">
        <v>2001</v>
      </c>
      <c r="C48" s="1844" t="s">
        <v>2004</v>
      </c>
      <c r="D48" s="1844" t="s">
        <v>1985</v>
      </c>
      <c r="E48" s="1845"/>
      <c r="F48" s="1845"/>
      <c r="G48" s="1846">
        <v>3</v>
      </c>
      <c r="H48" s="1844" t="s">
        <v>1982</v>
      </c>
      <c r="I48" s="1846">
        <v>150</v>
      </c>
      <c r="J48" s="1844" t="s">
        <v>1982</v>
      </c>
      <c r="K48" s="1847">
        <f t="shared" si="0"/>
        <v>150.02999700059985</v>
      </c>
      <c r="L48" s="1848">
        <f t="shared" si="7"/>
        <v>0</v>
      </c>
      <c r="M48" s="1848">
        <f t="shared" si="8"/>
        <v>0</v>
      </c>
      <c r="N48" s="1848">
        <f t="shared" si="9"/>
        <v>0</v>
      </c>
      <c r="O48" s="1849">
        <f t="shared" si="4"/>
        <v>0</v>
      </c>
      <c r="P48" s="1849">
        <f t="shared" si="5"/>
        <v>0</v>
      </c>
      <c r="Q48" s="1849">
        <f t="shared" si="6"/>
        <v>0</v>
      </c>
      <c r="R48" s="1843" t="s">
        <v>1982</v>
      </c>
    </row>
    <row r="49" spans="1:18" ht="16.5">
      <c r="A49" s="1844" t="s">
        <v>1978</v>
      </c>
      <c r="B49" s="1844" t="s">
        <v>2001</v>
      </c>
      <c r="C49" s="1844" t="s">
        <v>2005</v>
      </c>
      <c r="D49" s="1844" t="s">
        <v>1984</v>
      </c>
      <c r="E49" s="1845"/>
      <c r="F49" s="1845"/>
      <c r="G49" s="1846">
        <v>1</v>
      </c>
      <c r="H49" s="1844" t="s">
        <v>1982</v>
      </c>
      <c r="I49" s="1846">
        <v>45</v>
      </c>
      <c r="J49" s="1844" t="s">
        <v>1982</v>
      </c>
      <c r="K49" s="1847">
        <f t="shared" si="0"/>
        <v>45.011109739707599</v>
      </c>
      <c r="L49" s="1848">
        <f t="shared" si="7"/>
        <v>0</v>
      </c>
      <c r="M49" s="1848">
        <f t="shared" si="8"/>
        <v>0</v>
      </c>
      <c r="N49" s="1848">
        <f t="shared" si="9"/>
        <v>0</v>
      </c>
      <c r="O49" s="1849">
        <f t="shared" si="4"/>
        <v>0</v>
      </c>
      <c r="P49" s="1849">
        <f t="shared" si="5"/>
        <v>0</v>
      </c>
      <c r="Q49" s="1849">
        <f t="shared" si="6"/>
        <v>0</v>
      </c>
      <c r="R49" s="1843" t="s">
        <v>1982</v>
      </c>
    </row>
    <row r="50" spans="1:18" ht="16.5">
      <c r="A50" s="1844" t="s">
        <v>1978</v>
      </c>
      <c r="B50" s="1844" t="s">
        <v>2001</v>
      </c>
      <c r="C50" s="1844" t="s">
        <v>2005</v>
      </c>
      <c r="D50" s="1844" t="s">
        <v>1985</v>
      </c>
      <c r="E50" s="1845"/>
      <c r="F50" s="1845"/>
      <c r="G50" s="1846">
        <v>1</v>
      </c>
      <c r="H50" s="1844" t="s">
        <v>1982</v>
      </c>
      <c r="I50" s="1846">
        <v>120</v>
      </c>
      <c r="J50" s="1844" t="s">
        <v>1982</v>
      </c>
      <c r="K50" s="1847">
        <f t="shared" si="0"/>
        <v>120.00416659433121</v>
      </c>
      <c r="L50" s="1848">
        <f t="shared" si="7"/>
        <v>0</v>
      </c>
      <c r="M50" s="1848">
        <f t="shared" si="8"/>
        <v>0</v>
      </c>
      <c r="N50" s="1848">
        <f t="shared" si="9"/>
        <v>0</v>
      </c>
      <c r="O50" s="1849">
        <f t="shared" si="4"/>
        <v>0</v>
      </c>
      <c r="P50" s="1849">
        <f t="shared" si="5"/>
        <v>0</v>
      </c>
      <c r="Q50" s="1849">
        <f t="shared" si="6"/>
        <v>0</v>
      </c>
      <c r="R50" s="1843" t="s">
        <v>1982</v>
      </c>
    </row>
    <row r="51" spans="1:18" ht="16.5">
      <c r="A51" s="1844" t="s">
        <v>1978</v>
      </c>
      <c r="B51" s="1844" t="s">
        <v>2006</v>
      </c>
      <c r="C51" s="1844" t="s">
        <v>2007</v>
      </c>
      <c r="D51" s="1844" t="s">
        <v>1987</v>
      </c>
      <c r="E51" s="1845"/>
      <c r="F51" s="1845"/>
      <c r="G51" s="1846">
        <v>2</v>
      </c>
      <c r="H51" s="1844" t="s">
        <v>1982</v>
      </c>
      <c r="I51" s="1846">
        <v>1.5</v>
      </c>
      <c r="J51" s="1844" t="s">
        <v>1983</v>
      </c>
      <c r="K51" s="1847">
        <f t="shared" si="0"/>
        <v>2.5</v>
      </c>
      <c r="L51" s="1848">
        <f t="shared" si="7"/>
        <v>0</v>
      </c>
      <c r="M51" s="1848">
        <f t="shared" si="8"/>
        <v>0</v>
      </c>
      <c r="N51" s="1848">
        <f t="shared" si="9"/>
        <v>0</v>
      </c>
      <c r="O51" s="1849">
        <f t="shared" si="4"/>
        <v>0</v>
      </c>
      <c r="P51" s="1849">
        <f t="shared" si="5"/>
        <v>0</v>
      </c>
      <c r="Q51" s="1849">
        <f t="shared" si="6"/>
        <v>0</v>
      </c>
      <c r="R51" s="1843" t="s">
        <v>1982</v>
      </c>
    </row>
    <row r="52" spans="1:18" ht="16.5">
      <c r="A52" s="1844" t="s">
        <v>1978</v>
      </c>
      <c r="B52" s="1844" t="s">
        <v>2006</v>
      </c>
      <c r="C52" s="1844" t="s">
        <v>2007</v>
      </c>
      <c r="D52" s="1844" t="s">
        <v>1984</v>
      </c>
      <c r="E52" s="1845"/>
      <c r="F52" s="1845"/>
      <c r="G52" s="1846">
        <v>2</v>
      </c>
      <c r="H52" s="1844" t="s">
        <v>1982</v>
      </c>
      <c r="I52" s="1846">
        <v>60</v>
      </c>
      <c r="J52" s="1844" t="s">
        <v>1983</v>
      </c>
      <c r="K52" s="1847">
        <f t="shared" si="0"/>
        <v>60.033324079214538</v>
      </c>
      <c r="L52" s="1848">
        <f t="shared" si="7"/>
        <v>0</v>
      </c>
      <c r="M52" s="1848">
        <f t="shared" si="8"/>
        <v>0</v>
      </c>
      <c r="N52" s="1848">
        <f t="shared" si="9"/>
        <v>0</v>
      </c>
      <c r="O52" s="1849">
        <f t="shared" si="4"/>
        <v>0</v>
      </c>
      <c r="P52" s="1849">
        <f t="shared" si="5"/>
        <v>0</v>
      </c>
      <c r="Q52" s="1849">
        <f t="shared" si="6"/>
        <v>0</v>
      </c>
      <c r="R52" s="1843" t="s">
        <v>1982</v>
      </c>
    </row>
    <row r="53" spans="1:18" ht="16.5">
      <c r="A53" s="1844" t="s">
        <v>1978</v>
      </c>
      <c r="B53" s="1844" t="s">
        <v>2006</v>
      </c>
      <c r="C53" s="1844" t="s">
        <v>2007</v>
      </c>
      <c r="D53" s="1844" t="s">
        <v>1985</v>
      </c>
      <c r="E53" s="1845"/>
      <c r="F53" s="1845"/>
      <c r="G53" s="1846">
        <v>2</v>
      </c>
      <c r="H53" s="1844" t="s">
        <v>1982</v>
      </c>
      <c r="I53" s="1846">
        <v>150</v>
      </c>
      <c r="J53" s="1844" t="s">
        <v>1983</v>
      </c>
      <c r="K53" s="1847">
        <f t="shared" si="0"/>
        <v>150.0133327407934</v>
      </c>
      <c r="L53" s="1848">
        <f t="shared" si="7"/>
        <v>0</v>
      </c>
      <c r="M53" s="1848">
        <f t="shared" si="8"/>
        <v>0</v>
      </c>
      <c r="N53" s="1848">
        <f t="shared" si="9"/>
        <v>0</v>
      </c>
      <c r="O53" s="1849">
        <f t="shared" si="4"/>
        <v>0</v>
      </c>
      <c r="P53" s="1849">
        <f t="shared" si="5"/>
        <v>0</v>
      </c>
      <c r="Q53" s="1849">
        <f t="shared" si="6"/>
        <v>0</v>
      </c>
      <c r="R53" s="1843" t="s">
        <v>1982</v>
      </c>
    </row>
    <row r="54" spans="1:18" ht="16.5">
      <c r="A54" s="1844" t="s">
        <v>1978</v>
      </c>
      <c r="B54" s="1844" t="s">
        <v>2008</v>
      </c>
      <c r="C54" s="1844" t="s">
        <v>2009</v>
      </c>
      <c r="D54" s="1844" t="s">
        <v>1987</v>
      </c>
      <c r="E54" s="1845"/>
      <c r="F54" s="1845"/>
      <c r="G54" s="1846">
        <v>10</v>
      </c>
      <c r="H54" s="1844" t="s">
        <v>1982</v>
      </c>
      <c r="I54" s="1846">
        <v>1</v>
      </c>
      <c r="J54" s="1844" t="s">
        <v>1982</v>
      </c>
      <c r="K54" s="1847">
        <f t="shared" si="0"/>
        <v>10.04987562112089</v>
      </c>
      <c r="L54" s="1848">
        <f t="shared" si="7"/>
        <v>0</v>
      </c>
      <c r="M54" s="1848">
        <f t="shared" si="8"/>
        <v>0</v>
      </c>
      <c r="N54" s="1848">
        <f t="shared" si="9"/>
        <v>0</v>
      </c>
      <c r="O54" s="1849">
        <f t="shared" si="4"/>
        <v>0</v>
      </c>
      <c r="P54" s="1849">
        <f t="shared" si="5"/>
        <v>0</v>
      </c>
      <c r="Q54" s="1849">
        <f t="shared" si="6"/>
        <v>0</v>
      </c>
      <c r="R54" s="1843" t="s">
        <v>1982</v>
      </c>
    </row>
    <row r="55" spans="1:18" ht="16.5">
      <c r="A55" s="1844" t="s">
        <v>1978</v>
      </c>
      <c r="B55" s="1844" t="s">
        <v>2008</v>
      </c>
      <c r="C55" s="1844" t="s">
        <v>2009</v>
      </c>
      <c r="D55" s="1844" t="s">
        <v>1984</v>
      </c>
      <c r="E55" s="1845"/>
      <c r="F55" s="1845"/>
      <c r="G55" s="1846">
        <v>10</v>
      </c>
      <c r="H55" s="1844" t="s">
        <v>1982</v>
      </c>
      <c r="I55" s="1846">
        <v>55</v>
      </c>
      <c r="J55" s="1844" t="s">
        <v>1982</v>
      </c>
      <c r="K55" s="1847">
        <f t="shared" si="0"/>
        <v>55.901699437494742</v>
      </c>
      <c r="L55" s="1848">
        <f t="shared" si="7"/>
        <v>0</v>
      </c>
      <c r="M55" s="1848">
        <f t="shared" si="8"/>
        <v>0</v>
      </c>
      <c r="N55" s="1848">
        <f t="shared" si="9"/>
        <v>0</v>
      </c>
      <c r="O55" s="1849">
        <f t="shared" si="4"/>
        <v>0</v>
      </c>
      <c r="P55" s="1849">
        <f t="shared" si="5"/>
        <v>0</v>
      </c>
      <c r="Q55" s="1849">
        <f t="shared" si="6"/>
        <v>0</v>
      </c>
      <c r="R55" s="1843" t="s">
        <v>1982</v>
      </c>
    </row>
    <row r="56" spans="1:18" ht="16.5">
      <c r="A56" s="1844" t="s">
        <v>1978</v>
      </c>
      <c r="B56" s="1844" t="s">
        <v>2008</v>
      </c>
      <c r="C56" s="1844" t="s">
        <v>2009</v>
      </c>
      <c r="D56" s="1844" t="s">
        <v>1985</v>
      </c>
      <c r="E56" s="1845"/>
      <c r="F56" s="1845"/>
      <c r="G56" s="1846">
        <v>10</v>
      </c>
      <c r="H56" s="1844" t="s">
        <v>1982</v>
      </c>
      <c r="I56" s="1846">
        <v>110</v>
      </c>
      <c r="J56" s="1844" t="s">
        <v>1982</v>
      </c>
      <c r="K56" s="1847">
        <f t="shared" si="0"/>
        <v>110.45361017187261</v>
      </c>
      <c r="L56" s="1848">
        <f t="shared" si="7"/>
        <v>0</v>
      </c>
      <c r="M56" s="1848">
        <f t="shared" si="8"/>
        <v>0</v>
      </c>
      <c r="N56" s="1848">
        <f t="shared" si="9"/>
        <v>0</v>
      </c>
      <c r="O56" s="1849">
        <f t="shared" si="4"/>
        <v>0</v>
      </c>
      <c r="P56" s="1849">
        <f t="shared" si="5"/>
        <v>0</v>
      </c>
      <c r="Q56" s="1849">
        <f t="shared" si="6"/>
        <v>0</v>
      </c>
      <c r="R56" s="1843" t="s">
        <v>1982</v>
      </c>
    </row>
    <row r="57" spans="1:18" ht="16.5">
      <c r="A57" s="1844" t="s">
        <v>1978</v>
      </c>
      <c r="B57" s="1844" t="s">
        <v>2008</v>
      </c>
      <c r="C57" s="1844" t="s">
        <v>2010</v>
      </c>
      <c r="D57" s="1844" t="s">
        <v>1984</v>
      </c>
      <c r="E57" s="1845"/>
      <c r="F57" s="1845"/>
      <c r="G57" s="1846">
        <v>12.5</v>
      </c>
      <c r="H57" s="1844" t="s">
        <v>1982</v>
      </c>
      <c r="I57" s="1846">
        <v>60</v>
      </c>
      <c r="J57" s="1844" t="s">
        <v>1982</v>
      </c>
      <c r="K57" s="1847">
        <f t="shared" si="0"/>
        <v>61.288253360656313</v>
      </c>
      <c r="L57" s="1848">
        <f t="shared" si="7"/>
        <v>0</v>
      </c>
      <c r="M57" s="1848">
        <f t="shared" si="8"/>
        <v>0</v>
      </c>
      <c r="N57" s="1848">
        <f t="shared" si="9"/>
        <v>0</v>
      </c>
      <c r="O57" s="1849">
        <f t="shared" si="4"/>
        <v>0</v>
      </c>
      <c r="P57" s="1849">
        <f t="shared" si="5"/>
        <v>0</v>
      </c>
      <c r="Q57" s="1849">
        <f t="shared" si="6"/>
        <v>0</v>
      </c>
      <c r="R57" s="1843" t="s">
        <v>1982</v>
      </c>
    </row>
    <row r="58" spans="1:18" ht="16.5">
      <c r="A58" s="1844" t="s">
        <v>1978</v>
      </c>
      <c r="B58" s="1844" t="s">
        <v>2008</v>
      </c>
      <c r="C58" s="1844" t="s">
        <v>2010</v>
      </c>
      <c r="D58" s="1844" t="s">
        <v>1985</v>
      </c>
      <c r="E58" s="1845"/>
      <c r="F58" s="1845"/>
      <c r="G58" s="1846">
        <v>12.5</v>
      </c>
      <c r="H58" s="1844" t="s">
        <v>1982</v>
      </c>
      <c r="I58" s="1846">
        <v>130</v>
      </c>
      <c r="J58" s="1844" t="s">
        <v>1982</v>
      </c>
      <c r="K58" s="1847">
        <f t="shared" si="0"/>
        <v>130.59957886608976</v>
      </c>
      <c r="L58" s="1848">
        <f t="shared" si="7"/>
        <v>0</v>
      </c>
      <c r="M58" s="1848">
        <f t="shared" si="8"/>
        <v>0</v>
      </c>
      <c r="N58" s="1848">
        <f t="shared" si="9"/>
        <v>0</v>
      </c>
      <c r="O58" s="1849">
        <f t="shared" si="4"/>
        <v>0</v>
      </c>
      <c r="P58" s="1849">
        <f t="shared" si="5"/>
        <v>0</v>
      </c>
      <c r="Q58" s="1849">
        <f t="shared" si="6"/>
        <v>0</v>
      </c>
      <c r="R58" s="1843" t="s">
        <v>1982</v>
      </c>
    </row>
    <row r="59" spans="1:18" ht="16.5">
      <c r="A59" s="1844" t="s">
        <v>1978</v>
      </c>
      <c r="B59" s="1844" t="s">
        <v>2011</v>
      </c>
      <c r="C59" s="1844" t="s">
        <v>2012</v>
      </c>
      <c r="D59" s="1844" t="s">
        <v>1987</v>
      </c>
      <c r="E59" s="1845"/>
      <c r="F59" s="1845"/>
      <c r="G59" s="1846">
        <v>20</v>
      </c>
      <c r="H59" s="1844" t="s">
        <v>1982</v>
      </c>
      <c r="I59" s="1846">
        <v>0.5</v>
      </c>
      <c r="J59" s="1844" t="s">
        <v>1983</v>
      </c>
      <c r="K59" s="1847">
        <f t="shared" si="0"/>
        <v>20.006249023742555</v>
      </c>
      <c r="L59" s="1848">
        <f t="shared" si="7"/>
        <v>0</v>
      </c>
      <c r="M59" s="1848">
        <f t="shared" si="8"/>
        <v>0</v>
      </c>
      <c r="N59" s="1848">
        <f t="shared" si="9"/>
        <v>0</v>
      </c>
      <c r="O59" s="1849">
        <f t="shared" si="4"/>
        <v>0</v>
      </c>
      <c r="P59" s="1849">
        <f t="shared" si="5"/>
        <v>0</v>
      </c>
      <c r="Q59" s="1849">
        <f t="shared" si="6"/>
        <v>0</v>
      </c>
      <c r="R59" s="1843" t="s">
        <v>1982</v>
      </c>
    </row>
    <row r="60" spans="1:18" ht="16.5">
      <c r="A60" s="1844" t="s">
        <v>1978</v>
      </c>
      <c r="B60" s="1844" t="s">
        <v>2011</v>
      </c>
      <c r="C60" s="1844" t="s">
        <v>2012</v>
      </c>
      <c r="D60" s="1844" t="s">
        <v>1984</v>
      </c>
      <c r="E60" s="1845"/>
      <c r="F60" s="1845"/>
      <c r="G60" s="1846">
        <v>20</v>
      </c>
      <c r="H60" s="1844" t="s">
        <v>1982</v>
      </c>
      <c r="I60" s="1846">
        <v>60</v>
      </c>
      <c r="J60" s="1844" t="s">
        <v>1983</v>
      </c>
      <c r="K60" s="1847">
        <f t="shared" si="0"/>
        <v>63.245553203367585</v>
      </c>
      <c r="L60" s="1848">
        <f t="shared" si="7"/>
        <v>0</v>
      </c>
      <c r="M60" s="1848">
        <f t="shared" si="8"/>
        <v>0</v>
      </c>
      <c r="N60" s="1848">
        <f t="shared" si="9"/>
        <v>0</v>
      </c>
      <c r="O60" s="1849">
        <f t="shared" si="4"/>
        <v>0</v>
      </c>
      <c r="P60" s="1849">
        <f t="shared" si="5"/>
        <v>0</v>
      </c>
      <c r="Q60" s="1849">
        <f t="shared" si="6"/>
        <v>0</v>
      </c>
      <c r="R60" s="1843" t="s">
        <v>1982</v>
      </c>
    </row>
    <row r="61" spans="1:18" ht="16.5">
      <c r="A61" s="1844" t="s">
        <v>1978</v>
      </c>
      <c r="B61" s="1844" t="s">
        <v>2011</v>
      </c>
      <c r="C61" s="1844" t="s">
        <v>2012</v>
      </c>
      <c r="D61" s="1844" t="s">
        <v>1985</v>
      </c>
      <c r="E61" s="1845"/>
      <c r="F61" s="1845"/>
      <c r="G61" s="1846">
        <v>20</v>
      </c>
      <c r="H61" s="1844" t="s">
        <v>1982</v>
      </c>
      <c r="I61" s="1846">
        <v>60</v>
      </c>
      <c r="J61" s="1844" t="s">
        <v>1983</v>
      </c>
      <c r="K61" s="1847">
        <f t="shared" si="0"/>
        <v>63.245553203367585</v>
      </c>
      <c r="L61" s="1848">
        <f t="shared" si="7"/>
        <v>0</v>
      </c>
      <c r="M61" s="1848">
        <f t="shared" si="8"/>
        <v>0</v>
      </c>
      <c r="N61" s="1848">
        <f t="shared" si="9"/>
        <v>0</v>
      </c>
      <c r="O61" s="1849">
        <f t="shared" si="4"/>
        <v>0</v>
      </c>
      <c r="P61" s="1849">
        <f t="shared" si="5"/>
        <v>0</v>
      </c>
      <c r="Q61" s="1849">
        <f t="shared" si="6"/>
        <v>0</v>
      </c>
      <c r="R61" s="1843" t="s">
        <v>1982</v>
      </c>
    </row>
    <row r="62" spans="1:18" ht="16.5">
      <c r="A62" s="1844" t="s">
        <v>1978</v>
      </c>
      <c r="B62" s="1844" t="s">
        <v>2013</v>
      </c>
      <c r="C62" s="1844" t="s">
        <v>2014</v>
      </c>
      <c r="D62" s="1844" t="s">
        <v>1987</v>
      </c>
      <c r="E62" s="1845"/>
      <c r="F62" s="1845"/>
      <c r="G62" s="1846">
        <v>6.5</v>
      </c>
      <c r="H62" s="1844" t="s">
        <v>1982</v>
      </c>
      <c r="I62" s="1846">
        <v>0.7</v>
      </c>
      <c r="J62" s="1844" t="s">
        <v>1982</v>
      </c>
      <c r="K62" s="1847">
        <f t="shared" si="0"/>
        <v>6.5375836514724615</v>
      </c>
      <c r="L62" s="1848">
        <f t="shared" si="7"/>
        <v>0</v>
      </c>
      <c r="M62" s="1848">
        <f t="shared" si="8"/>
        <v>0</v>
      </c>
      <c r="N62" s="1848">
        <f t="shared" si="9"/>
        <v>0</v>
      </c>
      <c r="O62" s="1849">
        <f t="shared" si="4"/>
        <v>0</v>
      </c>
      <c r="P62" s="1849">
        <f t="shared" si="5"/>
        <v>0</v>
      </c>
      <c r="Q62" s="1849">
        <f t="shared" si="6"/>
        <v>0</v>
      </c>
      <c r="R62" s="1843" t="s">
        <v>1982</v>
      </c>
    </row>
    <row r="63" spans="1:18" ht="16.5">
      <c r="A63" s="1844" t="s">
        <v>1978</v>
      </c>
      <c r="B63" s="1844" t="s">
        <v>2013</v>
      </c>
      <c r="C63" s="1844" t="s">
        <v>2014</v>
      </c>
      <c r="D63" s="1844" t="s">
        <v>1984</v>
      </c>
      <c r="E63" s="1845"/>
      <c r="F63" s="1845"/>
      <c r="G63" s="1846">
        <v>6.5</v>
      </c>
      <c r="H63" s="1844" t="s">
        <v>1982</v>
      </c>
      <c r="I63" s="1846">
        <v>25</v>
      </c>
      <c r="J63" s="1844" t="s">
        <v>1982</v>
      </c>
      <c r="K63" s="1847">
        <f t="shared" si="0"/>
        <v>25.831182706178978</v>
      </c>
      <c r="L63" s="1848">
        <f t="shared" si="7"/>
        <v>0</v>
      </c>
      <c r="M63" s="1848">
        <f t="shared" si="8"/>
        <v>0</v>
      </c>
      <c r="N63" s="1848">
        <f t="shared" si="9"/>
        <v>0</v>
      </c>
      <c r="O63" s="1849">
        <f t="shared" si="4"/>
        <v>0</v>
      </c>
      <c r="P63" s="1849">
        <f t="shared" si="5"/>
        <v>0</v>
      </c>
      <c r="Q63" s="1849">
        <f t="shared" si="6"/>
        <v>0</v>
      </c>
      <c r="R63" s="1843" t="s">
        <v>1982</v>
      </c>
    </row>
    <row r="64" spans="1:18" ht="16.5">
      <c r="A64" s="1844" t="s">
        <v>1978</v>
      </c>
      <c r="B64" s="1844" t="s">
        <v>2013</v>
      </c>
      <c r="C64" s="1844" t="s">
        <v>2014</v>
      </c>
      <c r="D64" s="1844" t="s">
        <v>1985</v>
      </c>
      <c r="E64" s="1845"/>
      <c r="F64" s="1845"/>
      <c r="G64" s="1846">
        <v>6.5</v>
      </c>
      <c r="H64" s="1844" t="s">
        <v>1982</v>
      </c>
      <c r="I64" s="1846">
        <v>40</v>
      </c>
      <c r="J64" s="1844" t="s">
        <v>1982</v>
      </c>
      <c r="K64" s="1847">
        <f t="shared" si="0"/>
        <v>40.524683835904263</v>
      </c>
      <c r="L64" s="1848">
        <f t="shared" si="7"/>
        <v>0</v>
      </c>
      <c r="M64" s="1848">
        <f t="shared" si="8"/>
        <v>0</v>
      </c>
      <c r="N64" s="1848">
        <f t="shared" si="9"/>
        <v>0</v>
      </c>
      <c r="O64" s="1849">
        <f t="shared" si="4"/>
        <v>0</v>
      </c>
      <c r="P64" s="1849">
        <f t="shared" si="5"/>
        <v>0</v>
      </c>
      <c r="Q64" s="1849">
        <f t="shared" si="6"/>
        <v>0</v>
      </c>
      <c r="R64" s="1843" t="s">
        <v>1982</v>
      </c>
    </row>
    <row r="65" spans="1:18" ht="16.5">
      <c r="A65" s="1844" t="s">
        <v>1978</v>
      </c>
      <c r="B65" s="1844" t="s">
        <v>2013</v>
      </c>
      <c r="C65" s="1844" t="s">
        <v>2015</v>
      </c>
      <c r="D65" s="1844" t="s">
        <v>1987</v>
      </c>
      <c r="E65" s="1845"/>
      <c r="F65" s="1845"/>
      <c r="G65" s="1846">
        <v>18</v>
      </c>
      <c r="H65" s="1844" t="s">
        <v>1982</v>
      </c>
      <c r="I65" s="1846">
        <v>0.9</v>
      </c>
      <c r="J65" s="1844" t="s">
        <v>1982</v>
      </c>
      <c r="K65" s="1847">
        <f t="shared" si="0"/>
        <v>18.022485955050708</v>
      </c>
      <c r="L65" s="1848">
        <f t="shared" si="7"/>
        <v>0</v>
      </c>
      <c r="M65" s="1848">
        <f t="shared" si="8"/>
        <v>0</v>
      </c>
      <c r="N65" s="1848">
        <f t="shared" si="9"/>
        <v>0</v>
      </c>
      <c r="O65" s="1849">
        <f t="shared" si="4"/>
        <v>0</v>
      </c>
      <c r="P65" s="1849">
        <f t="shared" si="5"/>
        <v>0</v>
      </c>
      <c r="Q65" s="1849">
        <f t="shared" si="6"/>
        <v>0</v>
      </c>
      <c r="R65" s="1843" t="s">
        <v>1982</v>
      </c>
    </row>
    <row r="66" spans="1:18" ht="16.5">
      <c r="A66" s="1844" t="s">
        <v>1978</v>
      </c>
      <c r="B66" s="1844" t="s">
        <v>2013</v>
      </c>
      <c r="C66" s="1844" t="s">
        <v>2015</v>
      </c>
      <c r="D66" s="1844" t="s">
        <v>1984</v>
      </c>
      <c r="E66" s="1845"/>
      <c r="F66" s="1845"/>
      <c r="G66" s="1846">
        <v>18</v>
      </c>
      <c r="H66" s="1844" t="s">
        <v>1982</v>
      </c>
      <c r="I66" s="1846">
        <v>65</v>
      </c>
      <c r="J66" s="1844" t="s">
        <v>1983</v>
      </c>
      <c r="K66" s="1847">
        <f t="shared" si="0"/>
        <v>67.446274915668994</v>
      </c>
      <c r="L66" s="1848">
        <f t="shared" si="7"/>
        <v>0</v>
      </c>
      <c r="M66" s="1848">
        <f t="shared" si="8"/>
        <v>0</v>
      </c>
      <c r="N66" s="1848">
        <f t="shared" si="9"/>
        <v>0</v>
      </c>
      <c r="O66" s="1849">
        <f t="shared" si="4"/>
        <v>0</v>
      </c>
      <c r="P66" s="1849">
        <f t="shared" si="5"/>
        <v>0</v>
      </c>
      <c r="Q66" s="1849">
        <f t="shared" si="6"/>
        <v>0</v>
      </c>
      <c r="R66" s="1843" t="s">
        <v>1982</v>
      </c>
    </row>
    <row r="67" spans="1:18" ht="16.5">
      <c r="A67" s="1844" t="s">
        <v>1978</v>
      </c>
      <c r="B67" s="1844" t="s">
        <v>2013</v>
      </c>
      <c r="C67" s="1844" t="s">
        <v>2015</v>
      </c>
      <c r="D67" s="1844" t="s">
        <v>1985</v>
      </c>
      <c r="E67" s="1845"/>
      <c r="F67" s="1845"/>
      <c r="G67" s="1846">
        <v>18</v>
      </c>
      <c r="H67" s="1844" t="s">
        <v>1982</v>
      </c>
      <c r="I67" s="1846">
        <v>55</v>
      </c>
      <c r="J67" s="1844" t="s">
        <v>1983</v>
      </c>
      <c r="K67" s="1847">
        <f t="shared" si="0"/>
        <v>57.870545184921149</v>
      </c>
      <c r="L67" s="1848">
        <f t="shared" ref="L67:L98" si="10">(K67*F67)^2/F$200^2</f>
        <v>0</v>
      </c>
      <c r="M67" s="1848">
        <f t="shared" ref="M67:M98" si="11">ABS(((0.01*F67+$F$200-(0.01*E67+$E$200))/(0.01*E67+$E$200))*100-(($F$200-$E$200)/$E$200)*100)</f>
        <v>0</v>
      </c>
      <c r="N67" s="1848">
        <f t="shared" ref="N67:N98" si="12">ABS(F67/$E$200)</f>
        <v>0</v>
      </c>
      <c r="O67" s="1849">
        <f t="shared" si="4"/>
        <v>0</v>
      </c>
      <c r="P67" s="1849">
        <f t="shared" si="5"/>
        <v>0</v>
      </c>
      <c r="Q67" s="1849">
        <f t="shared" si="6"/>
        <v>0</v>
      </c>
      <c r="R67" s="1843" t="s">
        <v>1982</v>
      </c>
    </row>
    <row r="68" spans="1:18" ht="16.5">
      <c r="A68" s="1844" t="s">
        <v>1978</v>
      </c>
      <c r="B68" s="1844" t="s">
        <v>2013</v>
      </c>
      <c r="C68" s="1844" t="s">
        <v>2016</v>
      </c>
      <c r="D68" s="1844" t="s">
        <v>1987</v>
      </c>
      <c r="E68" s="1845"/>
      <c r="F68" s="1845"/>
      <c r="G68" s="1846">
        <v>7</v>
      </c>
      <c r="H68" s="1844" t="s">
        <v>1982</v>
      </c>
      <c r="I68" s="1846">
        <v>0.34864134164192551</v>
      </c>
      <c r="J68" s="1844" t="s">
        <v>1983</v>
      </c>
      <c r="K68" s="1847">
        <f t="shared" ref="K68:K131" si="13">SQRT(G68^2+I68^2)</f>
        <v>7.0086768212767439</v>
      </c>
      <c r="L68" s="1848">
        <f t="shared" si="10"/>
        <v>0</v>
      </c>
      <c r="M68" s="1848">
        <f t="shared" si="11"/>
        <v>0</v>
      </c>
      <c r="N68" s="1848">
        <f t="shared" si="12"/>
        <v>0</v>
      </c>
      <c r="O68" s="1849">
        <f t="shared" ref="O68:O131" si="14">IF(J68="N",N68*I68*SQRT(2),M68*I68)</f>
        <v>0</v>
      </c>
      <c r="P68" s="1849">
        <f t="shared" ref="P68:P131" si="15">IF(H68="Y",M68*G68,N68*G68*SQRT(2))</f>
        <v>0</v>
      </c>
      <c r="Q68" s="1849">
        <f t="shared" ref="Q68:Q131" si="16">O68^2+P68^2</f>
        <v>0</v>
      </c>
      <c r="R68" s="1843" t="s">
        <v>1982</v>
      </c>
    </row>
    <row r="69" spans="1:18" ht="16.5">
      <c r="A69" s="1844" t="s">
        <v>1978</v>
      </c>
      <c r="B69" s="1844" t="s">
        <v>2013</v>
      </c>
      <c r="C69" s="1844" t="s">
        <v>2016</v>
      </c>
      <c r="D69" s="1844" t="s">
        <v>1984</v>
      </c>
      <c r="E69" s="1845"/>
      <c r="F69" s="1845"/>
      <c r="G69" s="1846">
        <v>7</v>
      </c>
      <c r="H69" s="1844" t="s">
        <v>1982</v>
      </c>
      <c r="I69" s="1846">
        <v>40</v>
      </c>
      <c r="J69" s="1844" t="s">
        <v>1983</v>
      </c>
      <c r="K69" s="1847">
        <f t="shared" si="13"/>
        <v>40.607881008493905</v>
      </c>
      <c r="L69" s="1848">
        <f t="shared" si="10"/>
        <v>0</v>
      </c>
      <c r="M69" s="1848">
        <f t="shared" si="11"/>
        <v>0</v>
      </c>
      <c r="N69" s="1848">
        <f t="shared" si="12"/>
        <v>0</v>
      </c>
      <c r="O69" s="1849">
        <f t="shared" si="14"/>
        <v>0</v>
      </c>
      <c r="P69" s="1849">
        <f t="shared" si="15"/>
        <v>0</v>
      </c>
      <c r="Q69" s="1849">
        <f t="shared" si="16"/>
        <v>0</v>
      </c>
      <c r="R69" s="1843" t="s">
        <v>1982</v>
      </c>
    </row>
    <row r="70" spans="1:18" ht="16.5">
      <c r="A70" s="1844" t="s">
        <v>1978</v>
      </c>
      <c r="B70" s="1844" t="s">
        <v>2013</v>
      </c>
      <c r="C70" s="1844" t="s">
        <v>2016</v>
      </c>
      <c r="D70" s="1844" t="s">
        <v>1985</v>
      </c>
      <c r="E70" s="1845"/>
      <c r="F70" s="1845"/>
      <c r="G70" s="1846">
        <v>7</v>
      </c>
      <c r="H70" s="1844" t="s">
        <v>1982</v>
      </c>
      <c r="I70" s="1846">
        <v>40</v>
      </c>
      <c r="J70" s="1844" t="s">
        <v>1983</v>
      </c>
      <c r="K70" s="1847">
        <f t="shared" si="13"/>
        <v>40.607881008493905</v>
      </c>
      <c r="L70" s="1848">
        <f t="shared" si="10"/>
        <v>0</v>
      </c>
      <c r="M70" s="1848">
        <f t="shared" si="11"/>
        <v>0</v>
      </c>
      <c r="N70" s="1848">
        <f t="shared" si="12"/>
        <v>0</v>
      </c>
      <c r="O70" s="1849">
        <f t="shared" si="14"/>
        <v>0</v>
      </c>
      <c r="P70" s="1849">
        <f t="shared" si="15"/>
        <v>0</v>
      </c>
      <c r="Q70" s="1849">
        <f t="shared" si="16"/>
        <v>0</v>
      </c>
      <c r="R70" s="1843" t="s">
        <v>1982</v>
      </c>
    </row>
    <row r="71" spans="1:18" ht="16.5">
      <c r="A71" s="1844" t="s">
        <v>1978</v>
      </c>
      <c r="B71" s="1844" t="s">
        <v>2013</v>
      </c>
      <c r="C71" s="1844" t="s">
        <v>2017</v>
      </c>
      <c r="D71" s="1844" t="s">
        <v>1987</v>
      </c>
      <c r="E71" s="1845"/>
      <c r="F71" s="1845"/>
      <c r="G71" s="1846">
        <v>10</v>
      </c>
      <c r="H71" s="1846" t="s">
        <v>1982</v>
      </c>
      <c r="I71" s="1846">
        <v>15</v>
      </c>
      <c r="J71" s="1844" t="s">
        <v>1982</v>
      </c>
      <c r="K71" s="1847">
        <f t="shared" si="13"/>
        <v>18.027756377319946</v>
      </c>
      <c r="L71" s="1848">
        <f t="shared" si="10"/>
        <v>0</v>
      </c>
      <c r="M71" s="1848">
        <f t="shared" si="11"/>
        <v>0</v>
      </c>
      <c r="N71" s="1848">
        <f t="shared" si="12"/>
        <v>0</v>
      </c>
      <c r="O71" s="1849">
        <f t="shared" si="14"/>
        <v>0</v>
      </c>
      <c r="P71" s="1849">
        <f t="shared" si="15"/>
        <v>0</v>
      </c>
      <c r="Q71" s="1849">
        <f t="shared" si="16"/>
        <v>0</v>
      </c>
      <c r="R71" s="1843" t="s">
        <v>1982</v>
      </c>
    </row>
    <row r="72" spans="1:18" ht="16.5">
      <c r="A72" s="1844" t="s">
        <v>1978</v>
      </c>
      <c r="B72" s="1844" t="s">
        <v>2013</v>
      </c>
      <c r="C72" s="1844" t="s">
        <v>2017</v>
      </c>
      <c r="D72" s="1844" t="s">
        <v>1984</v>
      </c>
      <c r="E72" s="1845"/>
      <c r="F72" s="1845"/>
      <c r="G72" s="1846">
        <v>10</v>
      </c>
      <c r="H72" s="1846" t="s">
        <v>1982</v>
      </c>
      <c r="I72" s="1846">
        <v>60</v>
      </c>
      <c r="J72" s="1844" t="s">
        <v>1982</v>
      </c>
      <c r="K72" s="1847">
        <f t="shared" si="13"/>
        <v>60.827625302982199</v>
      </c>
      <c r="L72" s="1848">
        <f t="shared" si="10"/>
        <v>0</v>
      </c>
      <c r="M72" s="1848">
        <f t="shared" si="11"/>
        <v>0</v>
      </c>
      <c r="N72" s="1848">
        <f t="shared" si="12"/>
        <v>0</v>
      </c>
      <c r="O72" s="1849">
        <f t="shared" si="14"/>
        <v>0</v>
      </c>
      <c r="P72" s="1849">
        <f t="shared" si="15"/>
        <v>0</v>
      </c>
      <c r="Q72" s="1849">
        <f t="shared" si="16"/>
        <v>0</v>
      </c>
      <c r="R72" s="1843" t="s">
        <v>1982</v>
      </c>
    </row>
    <row r="73" spans="1:18" ht="16.5">
      <c r="A73" s="1844" t="s">
        <v>1978</v>
      </c>
      <c r="B73" s="1844" t="s">
        <v>2013</v>
      </c>
      <c r="C73" s="1844" t="s">
        <v>2017</v>
      </c>
      <c r="D73" s="1844" t="s">
        <v>1985</v>
      </c>
      <c r="E73" s="1845"/>
      <c r="F73" s="1845"/>
      <c r="G73" s="1846">
        <v>10</v>
      </c>
      <c r="H73" s="1846" t="s">
        <v>1982</v>
      </c>
      <c r="I73" s="1846">
        <v>60</v>
      </c>
      <c r="J73" s="1844" t="s">
        <v>1982</v>
      </c>
      <c r="K73" s="1847">
        <f t="shared" si="13"/>
        <v>60.827625302982199</v>
      </c>
      <c r="L73" s="1848">
        <f t="shared" si="10"/>
        <v>0</v>
      </c>
      <c r="M73" s="1848">
        <f t="shared" si="11"/>
        <v>0</v>
      </c>
      <c r="N73" s="1848">
        <f t="shared" si="12"/>
        <v>0</v>
      </c>
      <c r="O73" s="1849">
        <f t="shared" si="14"/>
        <v>0</v>
      </c>
      <c r="P73" s="1849">
        <f t="shared" si="15"/>
        <v>0</v>
      </c>
      <c r="Q73" s="1849">
        <f t="shared" si="16"/>
        <v>0</v>
      </c>
      <c r="R73" s="1843" t="s">
        <v>1982</v>
      </c>
    </row>
    <row r="74" spans="1:18" ht="16.5">
      <c r="A74" s="1844" t="s">
        <v>1978</v>
      </c>
      <c r="B74" s="1844" t="s">
        <v>2013</v>
      </c>
      <c r="C74" s="1844" t="s">
        <v>2018</v>
      </c>
      <c r="D74" s="1844" t="s">
        <v>1987</v>
      </c>
      <c r="E74" s="1845"/>
      <c r="F74" s="1845"/>
      <c r="G74" s="1846">
        <v>8.5</v>
      </c>
      <c r="H74" s="1846" t="s">
        <v>1982</v>
      </c>
      <c r="I74" s="1846">
        <v>1.7</v>
      </c>
      <c r="J74" s="1844" t="s">
        <v>1982</v>
      </c>
      <c r="K74" s="1847">
        <f t="shared" si="13"/>
        <v>8.6683331731077349</v>
      </c>
      <c r="L74" s="1848">
        <f t="shared" si="10"/>
        <v>0</v>
      </c>
      <c r="M74" s="1848">
        <f t="shared" si="11"/>
        <v>0</v>
      </c>
      <c r="N74" s="1848">
        <f t="shared" si="12"/>
        <v>0</v>
      </c>
      <c r="O74" s="1849">
        <f t="shared" si="14"/>
        <v>0</v>
      </c>
      <c r="P74" s="1849">
        <f t="shared" si="15"/>
        <v>0</v>
      </c>
      <c r="Q74" s="1849">
        <f t="shared" si="16"/>
        <v>0</v>
      </c>
      <c r="R74" s="1843" t="s">
        <v>1982</v>
      </c>
    </row>
    <row r="75" spans="1:18" ht="16.5">
      <c r="A75" s="1844" t="s">
        <v>1978</v>
      </c>
      <c r="B75" s="1844" t="s">
        <v>2013</v>
      </c>
      <c r="C75" s="1844" t="s">
        <v>2018</v>
      </c>
      <c r="D75" s="1844" t="s">
        <v>1984</v>
      </c>
      <c r="E75" s="1845"/>
      <c r="F75" s="1845"/>
      <c r="G75" s="1846">
        <v>8.5</v>
      </c>
      <c r="H75" s="1846" t="s">
        <v>1982</v>
      </c>
      <c r="I75" s="1846">
        <v>130</v>
      </c>
      <c r="J75" s="1844" t="s">
        <v>1983</v>
      </c>
      <c r="K75" s="1847">
        <f t="shared" si="13"/>
        <v>130.27758824909219</v>
      </c>
      <c r="L75" s="1848">
        <f t="shared" si="10"/>
        <v>0</v>
      </c>
      <c r="M75" s="1848">
        <f t="shared" si="11"/>
        <v>0</v>
      </c>
      <c r="N75" s="1848">
        <f t="shared" si="12"/>
        <v>0</v>
      </c>
      <c r="O75" s="1849">
        <f t="shared" si="14"/>
        <v>0</v>
      </c>
      <c r="P75" s="1849">
        <f t="shared" si="15"/>
        <v>0</v>
      </c>
      <c r="Q75" s="1849">
        <f t="shared" si="16"/>
        <v>0</v>
      </c>
      <c r="R75" s="1843" t="s">
        <v>1982</v>
      </c>
    </row>
    <row r="76" spans="1:18" ht="16.5">
      <c r="A76" s="1844" t="s">
        <v>1978</v>
      </c>
      <c r="B76" s="1844" t="s">
        <v>2013</v>
      </c>
      <c r="C76" s="1844" t="s">
        <v>2018</v>
      </c>
      <c r="D76" s="1844" t="s">
        <v>1985</v>
      </c>
      <c r="E76" s="1845"/>
      <c r="F76" s="1845"/>
      <c r="G76" s="1846">
        <v>8.5</v>
      </c>
      <c r="H76" s="1846" t="s">
        <v>1982</v>
      </c>
      <c r="I76" s="1846">
        <v>130</v>
      </c>
      <c r="J76" s="1844" t="s">
        <v>1983</v>
      </c>
      <c r="K76" s="1847">
        <f t="shared" si="13"/>
        <v>130.27758824909219</v>
      </c>
      <c r="L76" s="1848">
        <f t="shared" si="10"/>
        <v>0</v>
      </c>
      <c r="M76" s="1848">
        <f t="shared" si="11"/>
        <v>0</v>
      </c>
      <c r="N76" s="1848">
        <f t="shared" si="12"/>
        <v>0</v>
      </c>
      <c r="O76" s="1849">
        <f t="shared" si="14"/>
        <v>0</v>
      </c>
      <c r="P76" s="1849">
        <f t="shared" si="15"/>
        <v>0</v>
      </c>
      <c r="Q76" s="1849">
        <f t="shared" si="16"/>
        <v>0</v>
      </c>
      <c r="R76" s="1843" t="s">
        <v>1982</v>
      </c>
    </row>
    <row r="77" spans="1:18" ht="16.5">
      <c r="A77" s="1844" t="s">
        <v>1978</v>
      </c>
      <c r="B77" s="1844" t="s">
        <v>2013</v>
      </c>
      <c r="C77" s="1844" t="s">
        <v>2019</v>
      </c>
      <c r="D77" s="1844" t="s">
        <v>1984</v>
      </c>
      <c r="E77" s="1845"/>
      <c r="F77" s="1845"/>
      <c r="G77" s="1846">
        <v>17</v>
      </c>
      <c r="H77" s="1846" t="s">
        <v>1982</v>
      </c>
      <c r="I77" s="1846">
        <v>140</v>
      </c>
      <c r="J77" s="1844" t="s">
        <v>1983</v>
      </c>
      <c r="K77" s="1847">
        <f t="shared" si="13"/>
        <v>141.02836594104039</v>
      </c>
      <c r="L77" s="1848">
        <f t="shared" si="10"/>
        <v>0</v>
      </c>
      <c r="M77" s="1848">
        <f t="shared" si="11"/>
        <v>0</v>
      </c>
      <c r="N77" s="1848">
        <f t="shared" si="12"/>
        <v>0</v>
      </c>
      <c r="O77" s="1849">
        <f t="shared" si="14"/>
        <v>0</v>
      </c>
      <c r="P77" s="1849">
        <f t="shared" si="15"/>
        <v>0</v>
      </c>
      <c r="Q77" s="1849">
        <f t="shared" si="16"/>
        <v>0</v>
      </c>
      <c r="R77" s="1843" t="s">
        <v>1982</v>
      </c>
    </row>
    <row r="78" spans="1:18" ht="16.5">
      <c r="A78" s="1844" t="s">
        <v>1978</v>
      </c>
      <c r="B78" s="1844" t="s">
        <v>2013</v>
      </c>
      <c r="C78" s="1844" t="s">
        <v>2019</v>
      </c>
      <c r="D78" s="1844" t="s">
        <v>1985</v>
      </c>
      <c r="E78" s="1845"/>
      <c r="F78" s="1845"/>
      <c r="G78" s="1846">
        <v>17</v>
      </c>
      <c r="H78" s="1846" t="s">
        <v>1982</v>
      </c>
      <c r="I78" s="1846">
        <v>160</v>
      </c>
      <c r="J78" s="1844" t="s">
        <v>1983</v>
      </c>
      <c r="K78" s="1847">
        <f t="shared" si="13"/>
        <v>160.90059042775448</v>
      </c>
      <c r="L78" s="1848">
        <f t="shared" si="10"/>
        <v>0</v>
      </c>
      <c r="M78" s="1848">
        <f t="shared" si="11"/>
        <v>0</v>
      </c>
      <c r="N78" s="1848">
        <f t="shared" si="12"/>
        <v>0</v>
      </c>
      <c r="O78" s="1849">
        <f t="shared" si="14"/>
        <v>0</v>
      </c>
      <c r="P78" s="1849">
        <f t="shared" si="15"/>
        <v>0</v>
      </c>
      <c r="Q78" s="1849">
        <f t="shared" si="16"/>
        <v>0</v>
      </c>
      <c r="R78" s="1843" t="s">
        <v>1982</v>
      </c>
    </row>
    <row r="79" spans="1:18" ht="16.5">
      <c r="A79" s="1844" t="s">
        <v>1978</v>
      </c>
      <c r="B79" s="1844" t="s">
        <v>2020</v>
      </c>
      <c r="C79" s="1844" t="s">
        <v>2021</v>
      </c>
      <c r="D79" s="1844" t="s">
        <v>1987</v>
      </c>
      <c r="E79" s="1845"/>
      <c r="F79" s="1845"/>
      <c r="G79" s="1846">
        <v>15</v>
      </c>
      <c r="H79" s="1846" t="s">
        <v>1982</v>
      </c>
      <c r="I79" s="1846">
        <v>1.7</v>
      </c>
      <c r="J79" s="1844" t="s">
        <v>1982</v>
      </c>
      <c r="K79" s="1847">
        <f t="shared" si="13"/>
        <v>15.09602596712128</v>
      </c>
      <c r="L79" s="1848">
        <f t="shared" si="10"/>
        <v>0</v>
      </c>
      <c r="M79" s="1848">
        <f t="shared" si="11"/>
        <v>0</v>
      </c>
      <c r="N79" s="1848">
        <f t="shared" si="12"/>
        <v>0</v>
      </c>
      <c r="O79" s="1849">
        <f t="shared" si="14"/>
        <v>0</v>
      </c>
      <c r="P79" s="1849">
        <f t="shared" si="15"/>
        <v>0</v>
      </c>
      <c r="Q79" s="1849">
        <f t="shared" si="16"/>
        <v>0</v>
      </c>
      <c r="R79" s="1843" t="s">
        <v>1982</v>
      </c>
    </row>
    <row r="80" spans="1:18" ht="16.5">
      <c r="A80" s="1844" t="s">
        <v>1978</v>
      </c>
      <c r="B80" s="1844" t="s">
        <v>2020</v>
      </c>
      <c r="C80" s="1844" t="s">
        <v>2021</v>
      </c>
      <c r="D80" s="1844" t="s">
        <v>1984</v>
      </c>
      <c r="E80" s="1845"/>
      <c r="F80" s="1845"/>
      <c r="G80" s="1846">
        <v>15</v>
      </c>
      <c r="H80" s="1846" t="s">
        <v>1982</v>
      </c>
      <c r="I80" s="1846">
        <v>45</v>
      </c>
      <c r="J80" s="1844" t="s">
        <v>1983</v>
      </c>
      <c r="K80" s="1847">
        <f t="shared" si="13"/>
        <v>47.434164902525687</v>
      </c>
      <c r="L80" s="1848">
        <f t="shared" si="10"/>
        <v>0</v>
      </c>
      <c r="M80" s="1848">
        <f t="shared" si="11"/>
        <v>0</v>
      </c>
      <c r="N80" s="1848">
        <f t="shared" si="12"/>
        <v>0</v>
      </c>
      <c r="O80" s="1849">
        <f t="shared" si="14"/>
        <v>0</v>
      </c>
      <c r="P80" s="1849">
        <f t="shared" si="15"/>
        <v>0</v>
      </c>
      <c r="Q80" s="1849">
        <f t="shared" si="16"/>
        <v>0</v>
      </c>
      <c r="R80" s="1843" t="s">
        <v>1982</v>
      </c>
    </row>
    <row r="81" spans="1:18" ht="16.5">
      <c r="A81" s="1844" t="s">
        <v>1978</v>
      </c>
      <c r="B81" s="1844" t="s">
        <v>2020</v>
      </c>
      <c r="C81" s="1844" t="s">
        <v>2021</v>
      </c>
      <c r="D81" s="1844" t="s">
        <v>1985</v>
      </c>
      <c r="E81" s="1845"/>
      <c r="F81" s="1845"/>
      <c r="G81" s="1846">
        <v>15</v>
      </c>
      <c r="H81" s="1846" t="s">
        <v>1982</v>
      </c>
      <c r="I81" s="1846">
        <v>50</v>
      </c>
      <c r="J81" s="1844" t="s">
        <v>1983</v>
      </c>
      <c r="K81" s="1847">
        <f t="shared" si="13"/>
        <v>52.201532544552748</v>
      </c>
      <c r="L81" s="1848">
        <f t="shared" si="10"/>
        <v>0</v>
      </c>
      <c r="M81" s="1848">
        <f t="shared" si="11"/>
        <v>0</v>
      </c>
      <c r="N81" s="1848">
        <f t="shared" si="12"/>
        <v>0</v>
      </c>
      <c r="O81" s="1849">
        <f t="shared" si="14"/>
        <v>0</v>
      </c>
      <c r="P81" s="1849">
        <f t="shared" si="15"/>
        <v>0</v>
      </c>
      <c r="Q81" s="1849">
        <f t="shared" si="16"/>
        <v>0</v>
      </c>
      <c r="R81" s="1843" t="s">
        <v>1982</v>
      </c>
    </row>
    <row r="82" spans="1:18" ht="16.5">
      <c r="A82" s="1844" t="s">
        <v>1978</v>
      </c>
      <c r="B82" s="1844" t="s">
        <v>2020</v>
      </c>
      <c r="C82" s="1844" t="s">
        <v>2022</v>
      </c>
      <c r="D82" s="1844" t="s">
        <v>1987</v>
      </c>
      <c r="E82" s="1845"/>
      <c r="F82" s="1845"/>
      <c r="G82" s="1846">
        <v>20</v>
      </c>
      <c r="H82" s="1846" t="s">
        <v>1982</v>
      </c>
      <c r="I82" s="1846">
        <v>1</v>
      </c>
      <c r="J82" s="1844" t="s">
        <v>1982</v>
      </c>
      <c r="K82" s="1847">
        <f t="shared" si="13"/>
        <v>20.024984394500787</v>
      </c>
      <c r="L82" s="1848">
        <f t="shared" si="10"/>
        <v>0</v>
      </c>
      <c r="M82" s="1848">
        <f t="shared" si="11"/>
        <v>0</v>
      </c>
      <c r="N82" s="1848">
        <f t="shared" si="12"/>
        <v>0</v>
      </c>
      <c r="O82" s="1849">
        <f t="shared" si="14"/>
        <v>0</v>
      </c>
      <c r="P82" s="1849">
        <f t="shared" si="15"/>
        <v>0</v>
      </c>
      <c r="Q82" s="1849">
        <f t="shared" si="16"/>
        <v>0</v>
      </c>
      <c r="R82" s="1843" t="s">
        <v>1982</v>
      </c>
    </row>
    <row r="83" spans="1:18" ht="16.5">
      <c r="A83" s="1844" t="s">
        <v>1978</v>
      </c>
      <c r="B83" s="1844" t="s">
        <v>2020</v>
      </c>
      <c r="C83" s="1844" t="s">
        <v>2022</v>
      </c>
      <c r="D83" s="1844" t="s">
        <v>1984</v>
      </c>
      <c r="E83" s="1845"/>
      <c r="F83" s="1845"/>
      <c r="G83" s="1846">
        <v>20</v>
      </c>
      <c r="H83" s="1846" t="s">
        <v>1982</v>
      </c>
      <c r="I83" s="1846">
        <v>60</v>
      </c>
      <c r="J83" s="1844" t="s">
        <v>1982</v>
      </c>
      <c r="K83" s="1847">
        <f t="shared" si="13"/>
        <v>63.245553203367585</v>
      </c>
      <c r="L83" s="1848">
        <f t="shared" si="10"/>
        <v>0</v>
      </c>
      <c r="M83" s="1848">
        <f t="shared" si="11"/>
        <v>0</v>
      </c>
      <c r="N83" s="1848">
        <f t="shared" si="12"/>
        <v>0</v>
      </c>
      <c r="O83" s="1849">
        <f t="shared" si="14"/>
        <v>0</v>
      </c>
      <c r="P83" s="1849">
        <f t="shared" si="15"/>
        <v>0</v>
      </c>
      <c r="Q83" s="1849">
        <f t="shared" si="16"/>
        <v>0</v>
      </c>
      <c r="R83" s="1843" t="s">
        <v>1982</v>
      </c>
    </row>
    <row r="84" spans="1:18" ht="16.5">
      <c r="A84" s="1844" t="s">
        <v>1978</v>
      </c>
      <c r="B84" s="1844" t="s">
        <v>2020</v>
      </c>
      <c r="C84" s="1844" t="s">
        <v>2022</v>
      </c>
      <c r="D84" s="1844" t="s">
        <v>1985</v>
      </c>
      <c r="E84" s="1845"/>
      <c r="F84" s="1845"/>
      <c r="G84" s="1846">
        <v>20</v>
      </c>
      <c r="H84" s="1846" t="s">
        <v>1982</v>
      </c>
      <c r="I84" s="1846">
        <v>60</v>
      </c>
      <c r="J84" s="1844" t="s">
        <v>1982</v>
      </c>
      <c r="K84" s="1847">
        <f t="shared" si="13"/>
        <v>63.245553203367585</v>
      </c>
      <c r="L84" s="1848">
        <f t="shared" si="10"/>
        <v>0</v>
      </c>
      <c r="M84" s="1848">
        <f t="shared" si="11"/>
        <v>0</v>
      </c>
      <c r="N84" s="1848">
        <f t="shared" si="12"/>
        <v>0</v>
      </c>
      <c r="O84" s="1849">
        <f t="shared" si="14"/>
        <v>0</v>
      </c>
      <c r="P84" s="1849">
        <f t="shared" si="15"/>
        <v>0</v>
      </c>
      <c r="Q84" s="1849">
        <f t="shared" si="16"/>
        <v>0</v>
      </c>
      <c r="R84" s="1843" t="s">
        <v>1982</v>
      </c>
    </row>
    <row r="85" spans="1:18" ht="16.5">
      <c r="A85" s="1844" t="s">
        <v>1978</v>
      </c>
      <c r="B85" s="1844" t="s">
        <v>2020</v>
      </c>
      <c r="C85" s="1844" t="s">
        <v>2023</v>
      </c>
      <c r="D85" s="1844" t="s">
        <v>1987</v>
      </c>
      <c r="E85" s="1845"/>
      <c r="F85" s="1845"/>
      <c r="G85" s="1846">
        <v>20</v>
      </c>
      <c r="H85" s="1846" t="s">
        <v>1982</v>
      </c>
      <c r="I85" s="1846">
        <v>0.50252337061801344</v>
      </c>
      <c r="J85" s="1844" t="s">
        <v>1983</v>
      </c>
      <c r="K85" s="1847">
        <f t="shared" si="13"/>
        <v>20.006312247338769</v>
      </c>
      <c r="L85" s="1848">
        <f t="shared" si="10"/>
        <v>0</v>
      </c>
      <c r="M85" s="1848">
        <f t="shared" si="11"/>
        <v>0</v>
      </c>
      <c r="N85" s="1848">
        <f t="shared" si="12"/>
        <v>0</v>
      </c>
      <c r="O85" s="1849">
        <f t="shared" si="14"/>
        <v>0</v>
      </c>
      <c r="P85" s="1849">
        <f t="shared" si="15"/>
        <v>0</v>
      </c>
      <c r="Q85" s="1849">
        <f t="shared" si="16"/>
        <v>0</v>
      </c>
      <c r="R85" s="1843" t="s">
        <v>1982</v>
      </c>
    </row>
    <row r="86" spans="1:18" ht="16.5">
      <c r="A86" s="1844" t="s">
        <v>1978</v>
      </c>
      <c r="B86" s="1844" t="s">
        <v>2020</v>
      </c>
      <c r="C86" s="1844" t="s">
        <v>2023</v>
      </c>
      <c r="D86" s="1844" t="s">
        <v>1984</v>
      </c>
      <c r="E86" s="1845"/>
      <c r="F86" s="1845"/>
      <c r="G86" s="1846">
        <v>20</v>
      </c>
      <c r="H86" s="1846" t="s">
        <v>1982</v>
      </c>
      <c r="I86" s="1846">
        <v>60</v>
      </c>
      <c r="J86" s="1844" t="s">
        <v>1983</v>
      </c>
      <c r="K86" s="1847">
        <f t="shared" si="13"/>
        <v>63.245553203367585</v>
      </c>
      <c r="L86" s="1848">
        <f t="shared" si="10"/>
        <v>0</v>
      </c>
      <c r="M86" s="1848">
        <f t="shared" si="11"/>
        <v>0</v>
      </c>
      <c r="N86" s="1848">
        <f t="shared" si="12"/>
        <v>0</v>
      </c>
      <c r="O86" s="1849">
        <f t="shared" si="14"/>
        <v>0</v>
      </c>
      <c r="P86" s="1849">
        <f t="shared" si="15"/>
        <v>0</v>
      </c>
      <c r="Q86" s="1849">
        <f t="shared" si="16"/>
        <v>0</v>
      </c>
      <c r="R86" s="1843" t="s">
        <v>1982</v>
      </c>
    </row>
    <row r="87" spans="1:18" ht="16.5">
      <c r="A87" s="1844" t="s">
        <v>1978</v>
      </c>
      <c r="B87" s="1844" t="s">
        <v>2020</v>
      </c>
      <c r="C87" s="1844" t="s">
        <v>2023</v>
      </c>
      <c r="D87" s="1844" t="s">
        <v>1985</v>
      </c>
      <c r="E87" s="1845"/>
      <c r="F87" s="1845"/>
      <c r="G87" s="1846">
        <v>20</v>
      </c>
      <c r="H87" s="1846" t="s">
        <v>1982</v>
      </c>
      <c r="I87" s="1846">
        <v>60</v>
      </c>
      <c r="J87" s="1844" t="s">
        <v>1983</v>
      </c>
      <c r="K87" s="1847">
        <f t="shared" si="13"/>
        <v>63.245553203367585</v>
      </c>
      <c r="L87" s="1848">
        <f t="shared" si="10"/>
        <v>0</v>
      </c>
      <c r="M87" s="1848">
        <f t="shared" si="11"/>
        <v>0</v>
      </c>
      <c r="N87" s="1848">
        <f t="shared" si="12"/>
        <v>0</v>
      </c>
      <c r="O87" s="1849">
        <f t="shared" si="14"/>
        <v>0</v>
      </c>
      <c r="P87" s="1849">
        <f t="shared" si="15"/>
        <v>0</v>
      </c>
      <c r="Q87" s="1849">
        <f t="shared" si="16"/>
        <v>0</v>
      </c>
      <c r="R87" s="1843" t="s">
        <v>1982</v>
      </c>
    </row>
    <row r="88" spans="1:18" ht="16.5">
      <c r="A88" s="1844" t="s">
        <v>1978</v>
      </c>
      <c r="B88" s="1844" t="s">
        <v>2020</v>
      </c>
      <c r="C88" s="1844" t="s">
        <v>2024</v>
      </c>
      <c r="D88" s="1844" t="s">
        <v>1987</v>
      </c>
      <c r="E88" s="1845"/>
      <c r="F88" s="1845"/>
      <c r="G88" s="1846">
        <v>10</v>
      </c>
      <c r="H88" s="1846" t="s">
        <v>1982</v>
      </c>
      <c r="I88" s="1846">
        <v>2</v>
      </c>
      <c r="J88" s="1844" t="s">
        <v>1982</v>
      </c>
      <c r="K88" s="1847">
        <f t="shared" si="13"/>
        <v>10.198039027185569</v>
      </c>
      <c r="L88" s="1848">
        <f t="shared" si="10"/>
        <v>0</v>
      </c>
      <c r="M88" s="1848">
        <f t="shared" si="11"/>
        <v>0</v>
      </c>
      <c r="N88" s="1848">
        <f t="shared" si="12"/>
        <v>0</v>
      </c>
      <c r="O88" s="1849">
        <f t="shared" si="14"/>
        <v>0</v>
      </c>
      <c r="P88" s="1849">
        <f t="shared" si="15"/>
        <v>0</v>
      </c>
      <c r="Q88" s="1849">
        <f t="shared" si="16"/>
        <v>0</v>
      </c>
      <c r="R88" s="1843" t="s">
        <v>1982</v>
      </c>
    </row>
    <row r="89" spans="1:18" ht="16.5">
      <c r="A89" s="1844" t="s">
        <v>1978</v>
      </c>
      <c r="B89" s="1844" t="s">
        <v>2020</v>
      </c>
      <c r="C89" s="1844" t="s">
        <v>2024</v>
      </c>
      <c r="D89" s="1844" t="s">
        <v>1984</v>
      </c>
      <c r="E89" s="1845"/>
      <c r="F89" s="1845"/>
      <c r="G89" s="1846">
        <v>10</v>
      </c>
      <c r="H89" s="1846" t="s">
        <v>1982</v>
      </c>
      <c r="I89" s="1846">
        <v>60</v>
      </c>
      <c r="J89" s="1844" t="s">
        <v>1982</v>
      </c>
      <c r="K89" s="1847">
        <f t="shared" si="13"/>
        <v>60.827625302982199</v>
      </c>
      <c r="L89" s="1848">
        <f t="shared" si="10"/>
        <v>0</v>
      </c>
      <c r="M89" s="1848">
        <f t="shared" si="11"/>
        <v>0</v>
      </c>
      <c r="N89" s="1848">
        <f t="shared" si="12"/>
        <v>0</v>
      </c>
      <c r="O89" s="1849">
        <f t="shared" si="14"/>
        <v>0</v>
      </c>
      <c r="P89" s="1849">
        <f t="shared" si="15"/>
        <v>0</v>
      </c>
      <c r="Q89" s="1849">
        <f t="shared" si="16"/>
        <v>0</v>
      </c>
      <c r="R89" s="1843" t="s">
        <v>1982</v>
      </c>
    </row>
    <row r="90" spans="1:18" ht="16.5">
      <c r="A90" s="1844" t="s">
        <v>1978</v>
      </c>
      <c r="B90" s="1844" t="s">
        <v>2020</v>
      </c>
      <c r="C90" s="1844" t="s">
        <v>2024</v>
      </c>
      <c r="D90" s="1844" t="s">
        <v>1985</v>
      </c>
      <c r="E90" s="1845"/>
      <c r="F90" s="1845"/>
      <c r="G90" s="1846">
        <v>10</v>
      </c>
      <c r="H90" s="1846" t="s">
        <v>1982</v>
      </c>
      <c r="I90" s="1846">
        <v>60</v>
      </c>
      <c r="J90" s="1844" t="s">
        <v>1982</v>
      </c>
      <c r="K90" s="1847">
        <f t="shared" si="13"/>
        <v>60.827625302982199</v>
      </c>
      <c r="L90" s="1848">
        <f t="shared" si="10"/>
        <v>0</v>
      </c>
      <c r="M90" s="1848">
        <f t="shared" si="11"/>
        <v>0</v>
      </c>
      <c r="N90" s="1848">
        <f t="shared" si="12"/>
        <v>0</v>
      </c>
      <c r="O90" s="1849">
        <f t="shared" si="14"/>
        <v>0</v>
      </c>
      <c r="P90" s="1849">
        <f t="shared" si="15"/>
        <v>0</v>
      </c>
      <c r="Q90" s="1849">
        <f t="shared" si="16"/>
        <v>0</v>
      </c>
      <c r="R90" s="1843" t="s">
        <v>1982</v>
      </c>
    </row>
    <row r="91" spans="1:18" ht="16.5">
      <c r="A91" s="1844" t="s">
        <v>1978</v>
      </c>
      <c r="B91" s="1844" t="s">
        <v>2020</v>
      </c>
      <c r="C91" s="1844" t="s">
        <v>2025</v>
      </c>
      <c r="D91" s="1844" t="s">
        <v>1984</v>
      </c>
      <c r="E91" s="1845"/>
      <c r="F91" s="1845"/>
      <c r="G91" s="1846">
        <v>10</v>
      </c>
      <c r="H91" s="1846" t="s">
        <v>1982</v>
      </c>
      <c r="I91" s="1846">
        <v>60</v>
      </c>
      <c r="J91" s="1844" t="s">
        <v>1983</v>
      </c>
      <c r="K91" s="1847">
        <f t="shared" si="13"/>
        <v>60.827625302982199</v>
      </c>
      <c r="L91" s="1848">
        <f t="shared" si="10"/>
        <v>0</v>
      </c>
      <c r="M91" s="1848">
        <f t="shared" si="11"/>
        <v>0</v>
      </c>
      <c r="N91" s="1848">
        <f t="shared" si="12"/>
        <v>0</v>
      </c>
      <c r="O91" s="1849">
        <f t="shared" si="14"/>
        <v>0</v>
      </c>
      <c r="P91" s="1849">
        <f t="shared" si="15"/>
        <v>0</v>
      </c>
      <c r="Q91" s="1849">
        <f t="shared" si="16"/>
        <v>0</v>
      </c>
      <c r="R91" s="1843" t="s">
        <v>1982</v>
      </c>
    </row>
    <row r="92" spans="1:18" ht="16.5">
      <c r="A92" s="1844" t="s">
        <v>1978</v>
      </c>
      <c r="B92" s="1844" t="s">
        <v>2020</v>
      </c>
      <c r="C92" s="1844" t="s">
        <v>2025</v>
      </c>
      <c r="D92" s="1844" t="s">
        <v>1985</v>
      </c>
      <c r="E92" s="1845"/>
      <c r="F92" s="1845"/>
      <c r="G92" s="1846">
        <v>10</v>
      </c>
      <c r="H92" s="1846" t="s">
        <v>1982</v>
      </c>
      <c r="I92" s="1846">
        <v>60</v>
      </c>
      <c r="J92" s="1844" t="s">
        <v>1983</v>
      </c>
      <c r="K92" s="1847">
        <f t="shared" si="13"/>
        <v>60.827625302982199</v>
      </c>
      <c r="L92" s="1848">
        <f t="shared" si="10"/>
        <v>0</v>
      </c>
      <c r="M92" s="1848">
        <f t="shared" si="11"/>
        <v>0</v>
      </c>
      <c r="N92" s="1848">
        <f t="shared" si="12"/>
        <v>0</v>
      </c>
      <c r="O92" s="1849">
        <f t="shared" si="14"/>
        <v>0</v>
      </c>
      <c r="P92" s="1849">
        <f t="shared" si="15"/>
        <v>0</v>
      </c>
      <c r="Q92" s="1849">
        <f t="shared" si="16"/>
        <v>0</v>
      </c>
      <c r="R92" s="1843" t="s">
        <v>1982</v>
      </c>
    </row>
    <row r="93" spans="1:18" ht="16.5">
      <c r="A93" s="1844" t="s">
        <v>1978</v>
      </c>
      <c r="B93" s="1844" t="s">
        <v>2026</v>
      </c>
      <c r="C93" s="1844" t="s">
        <v>2027</v>
      </c>
      <c r="D93" s="1844" t="s">
        <v>1987</v>
      </c>
      <c r="E93" s="1845"/>
      <c r="F93" s="1845"/>
      <c r="G93" s="1846">
        <v>55</v>
      </c>
      <c r="H93" s="1846" t="s">
        <v>1982</v>
      </c>
      <c r="I93" s="1846">
        <v>20</v>
      </c>
      <c r="J93" s="1844" t="s">
        <v>1982</v>
      </c>
      <c r="K93" s="1847">
        <f t="shared" si="13"/>
        <v>58.523499553598128</v>
      </c>
      <c r="L93" s="1848">
        <f t="shared" si="10"/>
        <v>0</v>
      </c>
      <c r="M93" s="1848">
        <f t="shared" si="11"/>
        <v>0</v>
      </c>
      <c r="N93" s="1848">
        <f t="shared" si="12"/>
        <v>0</v>
      </c>
      <c r="O93" s="1849">
        <f t="shared" si="14"/>
        <v>0</v>
      </c>
      <c r="P93" s="1849">
        <f t="shared" si="15"/>
        <v>0</v>
      </c>
      <c r="Q93" s="1849">
        <f t="shared" si="16"/>
        <v>0</v>
      </c>
      <c r="R93" s="1843" t="s">
        <v>1982</v>
      </c>
    </row>
    <row r="94" spans="1:18" ht="16.5">
      <c r="A94" s="1844" t="s">
        <v>1978</v>
      </c>
      <c r="B94" s="1844" t="s">
        <v>2026</v>
      </c>
      <c r="C94" s="1844" t="s">
        <v>2027</v>
      </c>
      <c r="D94" s="1844" t="s">
        <v>1984</v>
      </c>
      <c r="E94" s="1845"/>
      <c r="F94" s="1845"/>
      <c r="G94" s="1846">
        <v>25</v>
      </c>
      <c r="H94" s="1846" t="s">
        <v>1982</v>
      </c>
      <c r="I94" s="1846">
        <v>100</v>
      </c>
      <c r="J94" s="1844" t="s">
        <v>1982</v>
      </c>
      <c r="K94" s="1847">
        <f t="shared" si="13"/>
        <v>103.07764064044152</v>
      </c>
      <c r="L94" s="1848">
        <f t="shared" si="10"/>
        <v>0</v>
      </c>
      <c r="M94" s="1848">
        <f t="shared" si="11"/>
        <v>0</v>
      </c>
      <c r="N94" s="1848">
        <f t="shared" si="12"/>
        <v>0</v>
      </c>
      <c r="O94" s="1849">
        <f t="shared" si="14"/>
        <v>0</v>
      </c>
      <c r="P94" s="1849">
        <f t="shared" si="15"/>
        <v>0</v>
      </c>
      <c r="Q94" s="1849">
        <f t="shared" si="16"/>
        <v>0</v>
      </c>
      <c r="R94" s="1843" t="s">
        <v>1982</v>
      </c>
    </row>
    <row r="95" spans="1:18" ht="16.5">
      <c r="A95" s="1844" t="s">
        <v>1978</v>
      </c>
      <c r="B95" s="1844" t="s">
        <v>2026</v>
      </c>
      <c r="C95" s="1844" t="s">
        <v>2027</v>
      </c>
      <c r="D95" s="1844" t="s">
        <v>1985</v>
      </c>
      <c r="E95" s="1845"/>
      <c r="F95" s="1845"/>
      <c r="G95" s="1846">
        <v>90</v>
      </c>
      <c r="H95" s="1846" t="s">
        <v>1982</v>
      </c>
      <c r="I95" s="1846">
        <v>60</v>
      </c>
      <c r="J95" s="1844" t="s">
        <v>1982</v>
      </c>
      <c r="K95" s="1847">
        <f t="shared" si="13"/>
        <v>108.16653826391968</v>
      </c>
      <c r="L95" s="1848">
        <f t="shared" si="10"/>
        <v>0</v>
      </c>
      <c r="M95" s="1848">
        <f t="shared" si="11"/>
        <v>0</v>
      </c>
      <c r="N95" s="1848">
        <f t="shared" si="12"/>
        <v>0</v>
      </c>
      <c r="O95" s="1849">
        <f t="shared" si="14"/>
        <v>0</v>
      </c>
      <c r="P95" s="1849">
        <f t="shared" si="15"/>
        <v>0</v>
      </c>
      <c r="Q95" s="1849">
        <f t="shared" si="16"/>
        <v>0</v>
      </c>
      <c r="R95" s="1843" t="s">
        <v>1982</v>
      </c>
    </row>
    <row r="96" spans="1:18" ht="16.5">
      <c r="A96" s="1844" t="s">
        <v>2028</v>
      </c>
      <c r="B96" s="1844" t="s">
        <v>2029</v>
      </c>
      <c r="C96" s="1844" t="s">
        <v>2030</v>
      </c>
      <c r="D96" s="1844" t="s">
        <v>1987</v>
      </c>
      <c r="E96" s="1845"/>
      <c r="F96" s="1845"/>
      <c r="G96" s="1846">
        <v>2</v>
      </c>
      <c r="H96" s="1846" t="s">
        <v>1982</v>
      </c>
      <c r="I96" s="1846">
        <v>5</v>
      </c>
      <c r="J96" s="1844" t="s">
        <v>1983</v>
      </c>
      <c r="K96" s="1847">
        <f t="shared" si="13"/>
        <v>5.3851648071345037</v>
      </c>
      <c r="L96" s="1848">
        <f t="shared" si="10"/>
        <v>0</v>
      </c>
      <c r="M96" s="1848">
        <f t="shared" si="11"/>
        <v>0</v>
      </c>
      <c r="N96" s="1848">
        <f t="shared" si="12"/>
        <v>0</v>
      </c>
      <c r="O96" s="1849">
        <f t="shared" si="14"/>
        <v>0</v>
      </c>
      <c r="P96" s="1849">
        <f t="shared" si="15"/>
        <v>0</v>
      </c>
      <c r="Q96" s="1849">
        <f t="shared" si="16"/>
        <v>0</v>
      </c>
      <c r="R96" s="1843" t="s">
        <v>1982</v>
      </c>
    </row>
    <row r="97" spans="1:18" ht="16.5">
      <c r="A97" s="1844" t="s">
        <v>2028</v>
      </c>
      <c r="B97" s="1844" t="s">
        <v>2031</v>
      </c>
      <c r="C97" s="1844" t="s">
        <v>2032</v>
      </c>
      <c r="D97" s="1844" t="s">
        <v>1987</v>
      </c>
      <c r="E97" s="1845"/>
      <c r="F97" s="1845"/>
      <c r="G97" s="1846">
        <v>2</v>
      </c>
      <c r="H97" s="1846" t="s">
        <v>1982</v>
      </c>
      <c r="I97" s="1846">
        <v>3</v>
      </c>
      <c r="J97" s="1844" t="s">
        <v>1982</v>
      </c>
      <c r="K97" s="1847">
        <f t="shared" si="13"/>
        <v>3.6055512754639891</v>
      </c>
      <c r="L97" s="1848">
        <f t="shared" si="10"/>
        <v>0</v>
      </c>
      <c r="M97" s="1848">
        <f t="shared" si="11"/>
        <v>0</v>
      </c>
      <c r="N97" s="1848">
        <f t="shared" si="12"/>
        <v>0</v>
      </c>
      <c r="O97" s="1849">
        <f t="shared" si="14"/>
        <v>0</v>
      </c>
      <c r="P97" s="1849">
        <f t="shared" si="15"/>
        <v>0</v>
      </c>
      <c r="Q97" s="1849">
        <f t="shared" si="16"/>
        <v>0</v>
      </c>
      <c r="R97" s="1843" t="s">
        <v>1982</v>
      </c>
    </row>
    <row r="98" spans="1:18" ht="16.5">
      <c r="A98" s="1844" t="s">
        <v>2028</v>
      </c>
      <c r="B98" s="1844" t="s">
        <v>2033</v>
      </c>
      <c r="C98" s="1844" t="s">
        <v>2034</v>
      </c>
      <c r="D98" s="1844" t="s">
        <v>1987</v>
      </c>
      <c r="E98" s="1845"/>
      <c r="F98" s="1845"/>
      <c r="G98" s="1846">
        <v>5</v>
      </c>
      <c r="H98" s="1846" t="s">
        <v>1982</v>
      </c>
      <c r="I98" s="1846">
        <v>3</v>
      </c>
      <c r="J98" s="1844" t="s">
        <v>1983</v>
      </c>
      <c r="K98" s="1847">
        <f t="shared" si="13"/>
        <v>5.8309518948453007</v>
      </c>
      <c r="L98" s="1848">
        <f t="shared" si="10"/>
        <v>0</v>
      </c>
      <c r="M98" s="1848">
        <f t="shared" si="11"/>
        <v>0</v>
      </c>
      <c r="N98" s="1848">
        <f t="shared" si="12"/>
        <v>0</v>
      </c>
      <c r="O98" s="1849">
        <f t="shared" si="14"/>
        <v>0</v>
      </c>
      <c r="P98" s="1849">
        <f t="shared" si="15"/>
        <v>0</v>
      </c>
      <c r="Q98" s="1849">
        <f t="shared" si="16"/>
        <v>0</v>
      </c>
      <c r="R98" s="1843" t="s">
        <v>1982</v>
      </c>
    </row>
    <row r="99" spans="1:18" ht="16.5">
      <c r="A99" s="1844" t="s">
        <v>2028</v>
      </c>
      <c r="B99" s="1844" t="s">
        <v>2035</v>
      </c>
      <c r="C99" s="1844" t="s">
        <v>2036</v>
      </c>
      <c r="D99" s="1844" t="s">
        <v>1987</v>
      </c>
      <c r="E99" s="1845"/>
      <c r="F99" s="1845"/>
      <c r="G99" s="1846">
        <v>4.5</v>
      </c>
      <c r="H99" s="1846" t="s">
        <v>1982</v>
      </c>
      <c r="I99" s="1846">
        <v>2.5</v>
      </c>
      <c r="J99" s="1844" t="s">
        <v>1983</v>
      </c>
      <c r="K99" s="1847">
        <f t="shared" si="13"/>
        <v>5.1478150704935004</v>
      </c>
      <c r="L99" s="1848">
        <f t="shared" ref="L99:L130" si="17">(K99*F99)^2/F$200^2</f>
        <v>0</v>
      </c>
      <c r="M99" s="1848">
        <f t="shared" ref="M99:M130" si="18">ABS(((0.01*F99+$F$200-(0.01*E99+$E$200))/(0.01*E99+$E$200))*100-(($F$200-$E$200)/$E$200)*100)</f>
        <v>0</v>
      </c>
      <c r="N99" s="1848">
        <f t="shared" ref="N99:N131" si="19">ABS(F99/$E$200)</f>
        <v>0</v>
      </c>
      <c r="O99" s="1849">
        <f t="shared" si="14"/>
        <v>0</v>
      </c>
      <c r="P99" s="1849">
        <f t="shared" si="15"/>
        <v>0</v>
      </c>
      <c r="Q99" s="1849">
        <f t="shared" si="16"/>
        <v>0</v>
      </c>
      <c r="R99" s="1843" t="s">
        <v>1982</v>
      </c>
    </row>
    <row r="100" spans="1:18" ht="16.5">
      <c r="A100" s="1844" t="s">
        <v>2028</v>
      </c>
      <c r="B100" s="1844" t="s">
        <v>2037</v>
      </c>
      <c r="C100" s="1844" t="s">
        <v>2038</v>
      </c>
      <c r="D100" s="1844" t="s">
        <v>1987</v>
      </c>
      <c r="E100" s="1845"/>
      <c r="F100" s="1845"/>
      <c r="G100" s="1846">
        <v>3</v>
      </c>
      <c r="H100" s="1846" t="s">
        <v>1982</v>
      </c>
      <c r="I100" s="1846">
        <v>15</v>
      </c>
      <c r="J100" s="1844" t="s">
        <v>1982</v>
      </c>
      <c r="K100" s="1847">
        <f t="shared" si="13"/>
        <v>15.297058540778355</v>
      </c>
      <c r="L100" s="1848">
        <f t="shared" si="17"/>
        <v>0</v>
      </c>
      <c r="M100" s="1848">
        <f t="shared" si="18"/>
        <v>0</v>
      </c>
      <c r="N100" s="1848">
        <f t="shared" si="19"/>
        <v>0</v>
      </c>
      <c r="O100" s="1849">
        <f t="shared" si="14"/>
        <v>0</v>
      </c>
      <c r="P100" s="1849">
        <f t="shared" si="15"/>
        <v>0</v>
      </c>
      <c r="Q100" s="1849">
        <f t="shared" si="16"/>
        <v>0</v>
      </c>
      <c r="R100" s="1843" t="s">
        <v>1982</v>
      </c>
    </row>
    <row r="101" spans="1:18" ht="16.5">
      <c r="A101" s="1844" t="s">
        <v>2028</v>
      </c>
      <c r="B101" s="1844" t="s">
        <v>2039</v>
      </c>
      <c r="C101" s="1844" t="s">
        <v>2040</v>
      </c>
      <c r="D101" s="1844" t="s">
        <v>1985</v>
      </c>
      <c r="E101" s="1845"/>
      <c r="F101" s="1845"/>
      <c r="G101" s="1846">
        <v>3</v>
      </c>
      <c r="H101" s="1846" t="s">
        <v>1982</v>
      </c>
      <c r="I101" s="1846">
        <v>15</v>
      </c>
      <c r="J101" s="1844" t="s">
        <v>1982</v>
      </c>
      <c r="K101" s="1847">
        <f t="shared" si="13"/>
        <v>15.297058540778355</v>
      </c>
      <c r="L101" s="1848">
        <f t="shared" si="17"/>
        <v>0</v>
      </c>
      <c r="M101" s="1848">
        <f t="shared" si="18"/>
        <v>0</v>
      </c>
      <c r="N101" s="1848">
        <f t="shared" si="19"/>
        <v>0</v>
      </c>
      <c r="O101" s="1849">
        <f t="shared" si="14"/>
        <v>0</v>
      </c>
      <c r="P101" s="1849">
        <f t="shared" si="15"/>
        <v>0</v>
      </c>
      <c r="Q101" s="1849">
        <f t="shared" si="16"/>
        <v>0</v>
      </c>
      <c r="R101" s="1843" t="s">
        <v>1982</v>
      </c>
    </row>
    <row r="102" spans="1:18" ht="16.5">
      <c r="A102" s="1844" t="s">
        <v>2028</v>
      </c>
      <c r="B102" s="1844" t="s">
        <v>2041</v>
      </c>
      <c r="C102" s="1844" t="s">
        <v>2042</v>
      </c>
      <c r="D102" s="1844" t="s">
        <v>1987</v>
      </c>
      <c r="E102" s="1845"/>
      <c r="F102" s="1845"/>
      <c r="G102" s="1846">
        <v>7</v>
      </c>
      <c r="H102" s="1846" t="s">
        <v>1982</v>
      </c>
      <c r="I102" s="1846">
        <v>0</v>
      </c>
      <c r="J102" s="1844" t="s">
        <v>1982</v>
      </c>
      <c r="K102" s="1847">
        <f t="shared" si="13"/>
        <v>7</v>
      </c>
      <c r="L102" s="1848">
        <f t="shared" si="17"/>
        <v>0</v>
      </c>
      <c r="M102" s="1848">
        <f t="shared" si="18"/>
        <v>0</v>
      </c>
      <c r="N102" s="1848">
        <f t="shared" si="19"/>
        <v>0</v>
      </c>
      <c r="O102" s="1849">
        <f t="shared" si="14"/>
        <v>0</v>
      </c>
      <c r="P102" s="1849">
        <f t="shared" si="15"/>
        <v>0</v>
      </c>
      <c r="Q102" s="1849">
        <f t="shared" si="16"/>
        <v>0</v>
      </c>
      <c r="R102" s="1843" t="s">
        <v>1982</v>
      </c>
    </row>
    <row r="103" spans="1:18" ht="16.5">
      <c r="A103" s="1844" t="s">
        <v>2028</v>
      </c>
      <c r="B103" s="1844" t="s">
        <v>2043</v>
      </c>
      <c r="C103" s="1844" t="s">
        <v>2044</v>
      </c>
      <c r="D103" s="1844" t="s">
        <v>1987</v>
      </c>
      <c r="E103" s="1845"/>
      <c r="F103" s="1845"/>
      <c r="G103" s="1846">
        <v>5</v>
      </c>
      <c r="H103" s="1844" t="s">
        <v>1982</v>
      </c>
      <c r="I103" s="1846">
        <v>3</v>
      </c>
      <c r="J103" s="1844" t="s">
        <v>1982</v>
      </c>
      <c r="K103" s="1847">
        <f t="shared" si="13"/>
        <v>5.8309518948453007</v>
      </c>
      <c r="L103" s="1848">
        <f t="shared" si="17"/>
        <v>0</v>
      </c>
      <c r="M103" s="1848">
        <f t="shared" si="18"/>
        <v>0</v>
      </c>
      <c r="N103" s="1848">
        <f t="shared" si="19"/>
        <v>0</v>
      </c>
      <c r="O103" s="1849">
        <f t="shared" si="14"/>
        <v>0</v>
      </c>
      <c r="P103" s="1849">
        <f t="shared" si="15"/>
        <v>0</v>
      </c>
      <c r="Q103" s="1849">
        <f t="shared" si="16"/>
        <v>0</v>
      </c>
      <c r="R103" s="1843" t="s">
        <v>1982</v>
      </c>
    </row>
    <row r="104" spans="1:18" ht="16.5">
      <c r="A104" s="1844" t="s">
        <v>2028</v>
      </c>
      <c r="B104" s="1844" t="s">
        <v>2045</v>
      </c>
      <c r="C104" s="1844" t="s">
        <v>2046</v>
      </c>
      <c r="D104" s="1844" t="s">
        <v>1987</v>
      </c>
      <c r="E104" s="1845"/>
      <c r="F104" s="1845"/>
      <c r="G104" s="1846">
        <v>5</v>
      </c>
      <c r="H104" s="1844" t="s">
        <v>1982</v>
      </c>
      <c r="I104" s="1846">
        <v>3</v>
      </c>
      <c r="J104" s="1844" t="s">
        <v>1983</v>
      </c>
      <c r="K104" s="1847">
        <f t="shared" si="13"/>
        <v>5.8309518948453007</v>
      </c>
      <c r="L104" s="1848">
        <f t="shared" si="17"/>
        <v>0</v>
      </c>
      <c r="M104" s="1848">
        <f t="shared" si="18"/>
        <v>0</v>
      </c>
      <c r="N104" s="1848">
        <f t="shared" si="19"/>
        <v>0</v>
      </c>
      <c r="O104" s="1849">
        <f t="shared" si="14"/>
        <v>0</v>
      </c>
      <c r="P104" s="1849">
        <f t="shared" si="15"/>
        <v>0</v>
      </c>
      <c r="Q104" s="1849">
        <f t="shared" si="16"/>
        <v>0</v>
      </c>
      <c r="R104" s="1843" t="s">
        <v>1982</v>
      </c>
    </row>
    <row r="105" spans="1:18" ht="16.5">
      <c r="A105" s="1844" t="s">
        <v>2028</v>
      </c>
      <c r="B105" s="1844" t="s">
        <v>2047</v>
      </c>
      <c r="C105" s="1844" t="s">
        <v>2048</v>
      </c>
      <c r="D105" s="1844" t="s">
        <v>1987</v>
      </c>
      <c r="E105" s="1845"/>
      <c r="F105" s="1845"/>
      <c r="G105" s="1846">
        <v>4</v>
      </c>
      <c r="H105" s="1844" t="s">
        <v>1982</v>
      </c>
      <c r="I105" s="1846">
        <v>0</v>
      </c>
      <c r="J105" s="1844" t="s">
        <v>1982</v>
      </c>
      <c r="K105" s="1847">
        <f t="shared" si="13"/>
        <v>4</v>
      </c>
      <c r="L105" s="1848">
        <f t="shared" si="17"/>
        <v>0</v>
      </c>
      <c r="M105" s="1848">
        <f t="shared" si="18"/>
        <v>0</v>
      </c>
      <c r="N105" s="1848">
        <f t="shared" si="19"/>
        <v>0</v>
      </c>
      <c r="O105" s="1849">
        <f t="shared" si="14"/>
        <v>0</v>
      </c>
      <c r="P105" s="1849">
        <f t="shared" si="15"/>
        <v>0</v>
      </c>
      <c r="Q105" s="1849">
        <f t="shared" si="16"/>
        <v>0</v>
      </c>
      <c r="R105" s="1843" t="s">
        <v>1982</v>
      </c>
    </row>
    <row r="106" spans="1:18" ht="16.5">
      <c r="A106" s="1844" t="s">
        <v>2028</v>
      </c>
      <c r="B106" s="1844" t="s">
        <v>2047</v>
      </c>
      <c r="C106" s="1844" t="s">
        <v>2048</v>
      </c>
      <c r="D106" s="1844" t="s">
        <v>1984</v>
      </c>
      <c r="E106" s="1845"/>
      <c r="F106" s="1845"/>
      <c r="G106" s="1846">
        <v>3</v>
      </c>
      <c r="H106" s="1844" t="s">
        <v>1982</v>
      </c>
      <c r="I106" s="1846">
        <v>20</v>
      </c>
      <c r="J106" s="1844" t="s">
        <v>1983</v>
      </c>
      <c r="K106" s="1847">
        <f t="shared" si="13"/>
        <v>20.223748416156685</v>
      </c>
      <c r="L106" s="1848">
        <f t="shared" si="17"/>
        <v>0</v>
      </c>
      <c r="M106" s="1848">
        <f t="shared" si="18"/>
        <v>0</v>
      </c>
      <c r="N106" s="1848">
        <f t="shared" si="19"/>
        <v>0</v>
      </c>
      <c r="O106" s="1849">
        <f t="shared" si="14"/>
        <v>0</v>
      </c>
      <c r="P106" s="1849">
        <f t="shared" si="15"/>
        <v>0</v>
      </c>
      <c r="Q106" s="1849">
        <f t="shared" si="16"/>
        <v>0</v>
      </c>
      <c r="R106" s="1843" t="s">
        <v>1982</v>
      </c>
    </row>
    <row r="107" spans="1:18" ht="16.5">
      <c r="A107" s="1844" t="s">
        <v>2028</v>
      </c>
      <c r="B107" s="1844" t="s">
        <v>2049</v>
      </c>
      <c r="C107" s="1844" t="s">
        <v>2050</v>
      </c>
      <c r="D107" s="1844" t="s">
        <v>1987</v>
      </c>
      <c r="E107" s="1845"/>
      <c r="F107" s="1845"/>
      <c r="G107" s="1846">
        <v>5</v>
      </c>
      <c r="H107" s="1844" t="s">
        <v>1982</v>
      </c>
      <c r="I107" s="1846">
        <v>0</v>
      </c>
      <c r="J107" s="1844" t="s">
        <v>1982</v>
      </c>
      <c r="K107" s="1847">
        <f t="shared" si="13"/>
        <v>5</v>
      </c>
      <c r="L107" s="1848">
        <f t="shared" si="17"/>
        <v>0</v>
      </c>
      <c r="M107" s="1848">
        <f t="shared" si="18"/>
        <v>0</v>
      </c>
      <c r="N107" s="1848">
        <f t="shared" si="19"/>
        <v>0</v>
      </c>
      <c r="O107" s="1849">
        <f t="shared" si="14"/>
        <v>0</v>
      </c>
      <c r="P107" s="1849">
        <f t="shared" si="15"/>
        <v>0</v>
      </c>
      <c r="Q107" s="1849">
        <f t="shared" si="16"/>
        <v>0</v>
      </c>
      <c r="R107" s="1843" t="s">
        <v>1982</v>
      </c>
    </row>
    <row r="108" spans="1:18" ht="16.5">
      <c r="A108" s="1844" t="s">
        <v>2028</v>
      </c>
      <c r="B108" s="1844" t="s">
        <v>2051</v>
      </c>
      <c r="C108" s="1844" t="s">
        <v>2052</v>
      </c>
      <c r="D108" s="1844" t="s">
        <v>1987</v>
      </c>
      <c r="E108" s="1845"/>
      <c r="F108" s="1845"/>
      <c r="G108" s="1846">
        <v>20</v>
      </c>
      <c r="H108" s="1844" t="s">
        <v>1982</v>
      </c>
      <c r="I108" s="1846">
        <v>7</v>
      </c>
      <c r="J108" s="1844" t="s">
        <v>1983</v>
      </c>
      <c r="K108" s="1847">
        <f t="shared" si="13"/>
        <v>21.189620100417091</v>
      </c>
      <c r="L108" s="1848">
        <f t="shared" si="17"/>
        <v>0</v>
      </c>
      <c r="M108" s="1848">
        <f t="shared" si="18"/>
        <v>0</v>
      </c>
      <c r="N108" s="1848">
        <f t="shared" si="19"/>
        <v>0</v>
      </c>
      <c r="O108" s="1849">
        <f t="shared" si="14"/>
        <v>0</v>
      </c>
      <c r="P108" s="1849">
        <f t="shared" si="15"/>
        <v>0</v>
      </c>
      <c r="Q108" s="1849">
        <f t="shared" si="16"/>
        <v>0</v>
      </c>
      <c r="R108" s="1843" t="s">
        <v>1982</v>
      </c>
    </row>
    <row r="109" spans="1:18" ht="16.5">
      <c r="A109" s="1844" t="s">
        <v>2028</v>
      </c>
      <c r="B109" s="1844" t="s">
        <v>2051</v>
      </c>
      <c r="C109" s="1844" t="s">
        <v>2052</v>
      </c>
      <c r="D109" s="1844" t="s">
        <v>1984</v>
      </c>
      <c r="E109" s="1845"/>
      <c r="F109" s="1845"/>
      <c r="G109" s="1846">
        <v>20</v>
      </c>
      <c r="H109" s="1844" t="s">
        <v>1982</v>
      </c>
      <c r="I109" s="1846">
        <v>60</v>
      </c>
      <c r="J109" s="1844" t="s">
        <v>1983</v>
      </c>
      <c r="K109" s="1847">
        <f t="shared" si="13"/>
        <v>63.245553203367585</v>
      </c>
      <c r="L109" s="1848">
        <f t="shared" si="17"/>
        <v>0</v>
      </c>
      <c r="M109" s="1848">
        <f t="shared" si="18"/>
        <v>0</v>
      </c>
      <c r="N109" s="1848">
        <f t="shared" si="19"/>
        <v>0</v>
      </c>
      <c r="O109" s="1849">
        <f t="shared" si="14"/>
        <v>0</v>
      </c>
      <c r="P109" s="1849">
        <f t="shared" si="15"/>
        <v>0</v>
      </c>
      <c r="Q109" s="1849">
        <f t="shared" si="16"/>
        <v>0</v>
      </c>
      <c r="R109" s="1843" t="s">
        <v>1982</v>
      </c>
    </row>
    <row r="110" spans="1:18" ht="16.5">
      <c r="A110" s="1844" t="s">
        <v>2028</v>
      </c>
      <c r="B110" s="1844" t="s">
        <v>2051</v>
      </c>
      <c r="C110" s="1844" t="s">
        <v>2052</v>
      </c>
      <c r="D110" s="1844" t="s">
        <v>1985</v>
      </c>
      <c r="E110" s="1845"/>
      <c r="F110" s="1845"/>
      <c r="G110" s="1846">
        <v>20</v>
      </c>
      <c r="H110" s="1844" t="s">
        <v>1982</v>
      </c>
      <c r="I110" s="1846">
        <v>60</v>
      </c>
      <c r="J110" s="1844" t="s">
        <v>1983</v>
      </c>
      <c r="K110" s="1847">
        <f t="shared" si="13"/>
        <v>63.245553203367585</v>
      </c>
      <c r="L110" s="1848">
        <f t="shared" si="17"/>
        <v>0</v>
      </c>
      <c r="M110" s="1848">
        <f t="shared" si="18"/>
        <v>0</v>
      </c>
      <c r="N110" s="1848">
        <f t="shared" si="19"/>
        <v>0</v>
      </c>
      <c r="O110" s="1849">
        <f t="shared" si="14"/>
        <v>0</v>
      </c>
      <c r="P110" s="1849">
        <f t="shared" si="15"/>
        <v>0</v>
      </c>
      <c r="Q110" s="1849">
        <f t="shared" si="16"/>
        <v>0</v>
      </c>
      <c r="R110" s="1843" t="s">
        <v>1982</v>
      </c>
    </row>
    <row r="111" spans="1:18" ht="16.5">
      <c r="A111" s="1844" t="s">
        <v>2028</v>
      </c>
      <c r="B111" s="1844" t="s">
        <v>2053</v>
      </c>
      <c r="C111" s="1844" t="s">
        <v>2054</v>
      </c>
      <c r="D111" s="1844" t="s">
        <v>1987</v>
      </c>
      <c r="E111" s="1845"/>
      <c r="F111" s="1845"/>
      <c r="G111" s="1846">
        <v>20</v>
      </c>
      <c r="H111" s="1844" t="s">
        <v>1982</v>
      </c>
      <c r="I111" s="1846">
        <v>100</v>
      </c>
      <c r="J111" s="1844" t="s">
        <v>1983</v>
      </c>
      <c r="K111" s="1847">
        <f t="shared" si="13"/>
        <v>101.9803902718557</v>
      </c>
      <c r="L111" s="1848">
        <f t="shared" si="17"/>
        <v>0</v>
      </c>
      <c r="M111" s="1848">
        <f t="shared" si="18"/>
        <v>0</v>
      </c>
      <c r="N111" s="1848">
        <f t="shared" si="19"/>
        <v>0</v>
      </c>
      <c r="O111" s="1849">
        <f t="shared" si="14"/>
        <v>0</v>
      </c>
      <c r="P111" s="1849">
        <f t="shared" si="15"/>
        <v>0</v>
      </c>
      <c r="Q111" s="1849">
        <f t="shared" si="16"/>
        <v>0</v>
      </c>
      <c r="R111" s="1843" t="s">
        <v>1982</v>
      </c>
    </row>
    <row r="112" spans="1:18" ht="16.5">
      <c r="A112" s="1844" t="s">
        <v>2028</v>
      </c>
      <c r="B112" s="1844" t="s">
        <v>2055</v>
      </c>
      <c r="C112" s="1844" t="s">
        <v>2056</v>
      </c>
      <c r="D112" s="1844" t="s">
        <v>1987</v>
      </c>
      <c r="E112" s="1845"/>
      <c r="F112" s="1845"/>
      <c r="G112" s="1846">
        <v>20</v>
      </c>
      <c r="H112" s="1844" t="s">
        <v>1982</v>
      </c>
      <c r="I112" s="1846">
        <v>2</v>
      </c>
      <c r="J112" s="1844" t="s">
        <v>1982</v>
      </c>
      <c r="K112" s="1847">
        <f t="shared" si="13"/>
        <v>20.09975124224178</v>
      </c>
      <c r="L112" s="1848">
        <f t="shared" si="17"/>
        <v>0</v>
      </c>
      <c r="M112" s="1848">
        <f t="shared" si="18"/>
        <v>0</v>
      </c>
      <c r="N112" s="1848">
        <f t="shared" si="19"/>
        <v>0</v>
      </c>
      <c r="O112" s="1849">
        <f t="shared" si="14"/>
        <v>0</v>
      </c>
      <c r="P112" s="1849">
        <f t="shared" si="15"/>
        <v>0</v>
      </c>
      <c r="Q112" s="1849">
        <f t="shared" si="16"/>
        <v>0</v>
      </c>
      <c r="R112" s="1843" t="s">
        <v>1982</v>
      </c>
    </row>
    <row r="113" spans="1:18">
      <c r="A113" s="1844" t="s">
        <v>2028</v>
      </c>
      <c r="B113" s="1844" t="s">
        <v>2057</v>
      </c>
      <c r="C113" s="1844" t="s">
        <v>2058</v>
      </c>
      <c r="D113" s="1844" t="s">
        <v>2059</v>
      </c>
      <c r="E113" s="1845"/>
      <c r="F113" s="1845"/>
      <c r="G113" s="1846">
        <v>20</v>
      </c>
      <c r="H113" s="1844" t="s">
        <v>1982</v>
      </c>
      <c r="I113" s="1846">
        <v>0</v>
      </c>
      <c r="J113" s="1844" t="s">
        <v>1982</v>
      </c>
      <c r="K113" s="1847">
        <f t="shared" si="13"/>
        <v>20</v>
      </c>
      <c r="L113" s="1848">
        <f t="shared" si="17"/>
        <v>0</v>
      </c>
      <c r="M113" s="1848">
        <f t="shared" si="18"/>
        <v>0</v>
      </c>
      <c r="N113" s="1848">
        <f t="shared" si="19"/>
        <v>0</v>
      </c>
      <c r="O113" s="1849">
        <f t="shared" si="14"/>
        <v>0</v>
      </c>
      <c r="P113" s="1849">
        <f t="shared" si="15"/>
        <v>0</v>
      </c>
      <c r="Q113" s="1849">
        <f t="shared" si="16"/>
        <v>0</v>
      </c>
      <c r="R113" s="1843" t="s">
        <v>1982</v>
      </c>
    </row>
    <row r="114" spans="1:18">
      <c r="A114" s="1844" t="s">
        <v>2028</v>
      </c>
      <c r="B114" s="1844" t="s">
        <v>2057</v>
      </c>
      <c r="C114" s="1844" t="s">
        <v>2058</v>
      </c>
      <c r="D114" s="1844" t="s">
        <v>2060</v>
      </c>
      <c r="E114" s="1845"/>
      <c r="F114" s="1845"/>
      <c r="G114" s="1846">
        <v>20</v>
      </c>
      <c r="H114" s="1844" t="s">
        <v>1982</v>
      </c>
      <c r="I114" s="1846">
        <v>0</v>
      </c>
      <c r="J114" s="1844" t="s">
        <v>1982</v>
      </c>
      <c r="K114" s="1847">
        <f t="shared" si="13"/>
        <v>20</v>
      </c>
      <c r="L114" s="1848">
        <f t="shared" si="17"/>
        <v>0</v>
      </c>
      <c r="M114" s="1848">
        <f t="shared" si="18"/>
        <v>0</v>
      </c>
      <c r="N114" s="1848">
        <f t="shared" si="19"/>
        <v>0</v>
      </c>
      <c r="O114" s="1849">
        <f t="shared" si="14"/>
        <v>0</v>
      </c>
      <c r="P114" s="1849">
        <f t="shared" si="15"/>
        <v>0</v>
      </c>
      <c r="Q114" s="1849">
        <f t="shared" si="16"/>
        <v>0</v>
      </c>
      <c r="R114" s="1843" t="s">
        <v>1982</v>
      </c>
    </row>
    <row r="115" spans="1:18">
      <c r="A115" s="1844" t="s">
        <v>2028</v>
      </c>
      <c r="B115" s="1844" t="s">
        <v>2061</v>
      </c>
      <c r="C115" s="1844" t="s">
        <v>2062</v>
      </c>
      <c r="D115" s="1844" t="s">
        <v>2059</v>
      </c>
      <c r="E115" s="1845"/>
      <c r="F115" s="1845"/>
      <c r="G115" s="1846">
        <v>16</v>
      </c>
      <c r="H115" s="1844" t="s">
        <v>1982</v>
      </c>
      <c r="I115" s="1846">
        <v>0</v>
      </c>
      <c r="J115" s="1844" t="s">
        <v>1982</v>
      </c>
      <c r="K115" s="1847">
        <f t="shared" si="13"/>
        <v>16</v>
      </c>
      <c r="L115" s="1848">
        <f t="shared" si="17"/>
        <v>0</v>
      </c>
      <c r="M115" s="1848">
        <f t="shared" si="18"/>
        <v>0</v>
      </c>
      <c r="N115" s="1848">
        <f t="shared" si="19"/>
        <v>0</v>
      </c>
      <c r="O115" s="1849">
        <f t="shared" si="14"/>
        <v>0</v>
      </c>
      <c r="P115" s="1849">
        <f t="shared" si="15"/>
        <v>0</v>
      </c>
      <c r="Q115" s="1849">
        <f t="shared" si="16"/>
        <v>0</v>
      </c>
      <c r="R115" s="1843" t="s">
        <v>1982</v>
      </c>
    </row>
    <row r="116" spans="1:18">
      <c r="A116" s="1844" t="s">
        <v>2028</v>
      </c>
      <c r="B116" s="1844" t="s">
        <v>2063</v>
      </c>
      <c r="C116" s="1844" t="s">
        <v>2064</v>
      </c>
      <c r="D116" s="1844" t="s">
        <v>2059</v>
      </c>
      <c r="E116" s="1845"/>
      <c r="F116" s="1845"/>
      <c r="G116" s="1846">
        <v>35</v>
      </c>
      <c r="H116" s="1844" t="s">
        <v>1982</v>
      </c>
      <c r="I116" s="1846">
        <v>0</v>
      </c>
      <c r="J116" s="1844" t="s">
        <v>1982</v>
      </c>
      <c r="K116" s="1847">
        <f t="shared" si="13"/>
        <v>35</v>
      </c>
      <c r="L116" s="1848">
        <f t="shared" si="17"/>
        <v>0</v>
      </c>
      <c r="M116" s="1848">
        <f t="shared" si="18"/>
        <v>0</v>
      </c>
      <c r="N116" s="1848">
        <f t="shared" si="19"/>
        <v>0</v>
      </c>
      <c r="O116" s="1849">
        <f t="shared" si="14"/>
        <v>0</v>
      </c>
      <c r="P116" s="1849">
        <f t="shared" si="15"/>
        <v>0</v>
      </c>
      <c r="Q116" s="1849">
        <f t="shared" si="16"/>
        <v>0</v>
      </c>
      <c r="R116" s="1843" t="s">
        <v>1982</v>
      </c>
    </row>
    <row r="117" spans="1:18" ht="16.5">
      <c r="A117" s="1844" t="s">
        <v>2028</v>
      </c>
      <c r="B117" s="1844" t="s">
        <v>2065</v>
      </c>
      <c r="C117" s="1844" t="s">
        <v>2066</v>
      </c>
      <c r="D117" s="1844" t="s">
        <v>2067</v>
      </c>
      <c r="E117" s="1845"/>
      <c r="F117" s="1845"/>
      <c r="G117" s="1846">
        <v>35</v>
      </c>
      <c r="H117" s="1844" t="s">
        <v>1982</v>
      </c>
      <c r="I117" s="1846">
        <v>0</v>
      </c>
      <c r="J117" s="1844" t="s">
        <v>1982</v>
      </c>
      <c r="K117" s="1847">
        <f t="shared" si="13"/>
        <v>35</v>
      </c>
      <c r="L117" s="1848">
        <f t="shared" si="17"/>
        <v>0</v>
      </c>
      <c r="M117" s="1848">
        <f t="shared" si="18"/>
        <v>0</v>
      </c>
      <c r="N117" s="1848">
        <f t="shared" si="19"/>
        <v>0</v>
      </c>
      <c r="O117" s="1849">
        <f t="shared" si="14"/>
        <v>0</v>
      </c>
      <c r="P117" s="1849">
        <f t="shared" si="15"/>
        <v>0</v>
      </c>
      <c r="Q117" s="1849">
        <f t="shared" si="16"/>
        <v>0</v>
      </c>
      <c r="R117" s="1843" t="s">
        <v>1982</v>
      </c>
    </row>
    <row r="118" spans="1:18" ht="16.5">
      <c r="A118" s="1844" t="s">
        <v>2028</v>
      </c>
      <c r="B118" s="1844" t="s">
        <v>2068</v>
      </c>
      <c r="C118" s="1844" t="s">
        <v>2069</v>
      </c>
      <c r="D118" s="1844" t="s">
        <v>1985</v>
      </c>
      <c r="E118" s="1845"/>
      <c r="F118" s="1845"/>
      <c r="G118" s="1846">
        <v>10</v>
      </c>
      <c r="H118" s="1844" t="s">
        <v>1982</v>
      </c>
      <c r="I118" s="1846">
        <v>0</v>
      </c>
      <c r="J118" s="1844" t="s">
        <v>1982</v>
      </c>
      <c r="K118" s="1847">
        <f t="shared" si="13"/>
        <v>10</v>
      </c>
      <c r="L118" s="1848">
        <f t="shared" si="17"/>
        <v>0</v>
      </c>
      <c r="M118" s="1848">
        <f t="shared" si="18"/>
        <v>0</v>
      </c>
      <c r="N118" s="1848">
        <f t="shared" si="19"/>
        <v>0</v>
      </c>
      <c r="O118" s="1849">
        <f t="shared" si="14"/>
        <v>0</v>
      </c>
      <c r="P118" s="1849">
        <f t="shared" si="15"/>
        <v>0</v>
      </c>
      <c r="Q118" s="1849">
        <f t="shared" si="16"/>
        <v>0</v>
      </c>
      <c r="R118" s="1843" t="s">
        <v>1982</v>
      </c>
    </row>
    <row r="119" spans="1:18">
      <c r="A119" s="1844" t="s">
        <v>2028</v>
      </c>
      <c r="B119" s="1844" t="s">
        <v>2070</v>
      </c>
      <c r="C119" s="1844" t="s">
        <v>2071</v>
      </c>
      <c r="D119" s="1844" t="s">
        <v>2059</v>
      </c>
      <c r="E119" s="1845"/>
      <c r="F119" s="1845"/>
      <c r="G119" s="1846">
        <v>17</v>
      </c>
      <c r="H119" s="1844" t="s">
        <v>1982</v>
      </c>
      <c r="I119" s="1846">
        <v>0</v>
      </c>
      <c r="J119" s="1844" t="s">
        <v>1982</v>
      </c>
      <c r="K119" s="1847">
        <f t="shared" si="13"/>
        <v>17</v>
      </c>
      <c r="L119" s="1848">
        <f t="shared" si="17"/>
        <v>0</v>
      </c>
      <c r="M119" s="1848">
        <f t="shared" si="18"/>
        <v>0</v>
      </c>
      <c r="N119" s="1848">
        <f t="shared" si="19"/>
        <v>0</v>
      </c>
      <c r="O119" s="1849">
        <f t="shared" si="14"/>
        <v>0</v>
      </c>
      <c r="P119" s="1849">
        <f t="shared" si="15"/>
        <v>0</v>
      </c>
      <c r="Q119" s="1849">
        <f t="shared" si="16"/>
        <v>0</v>
      </c>
      <c r="R119" s="1843" t="s">
        <v>1982</v>
      </c>
    </row>
    <row r="120" spans="1:18">
      <c r="A120" s="1844" t="s">
        <v>2028</v>
      </c>
      <c r="B120" s="1844" t="s">
        <v>2070</v>
      </c>
      <c r="C120" s="1844" t="s">
        <v>2071</v>
      </c>
      <c r="D120" s="1844" t="s">
        <v>2060</v>
      </c>
      <c r="E120" s="1845"/>
      <c r="F120" s="1845"/>
      <c r="G120" s="1846">
        <v>50</v>
      </c>
      <c r="H120" s="1844" t="s">
        <v>1982</v>
      </c>
      <c r="I120" s="1846">
        <v>0</v>
      </c>
      <c r="J120" s="1844" t="s">
        <v>1982</v>
      </c>
      <c r="K120" s="1847">
        <f t="shared" si="13"/>
        <v>50</v>
      </c>
      <c r="L120" s="1848">
        <f t="shared" si="17"/>
        <v>0</v>
      </c>
      <c r="M120" s="1848">
        <f t="shared" si="18"/>
        <v>0</v>
      </c>
      <c r="N120" s="1848">
        <f t="shared" si="19"/>
        <v>0</v>
      </c>
      <c r="O120" s="1849">
        <f t="shared" si="14"/>
        <v>0</v>
      </c>
      <c r="P120" s="1849">
        <f t="shared" si="15"/>
        <v>0</v>
      </c>
      <c r="Q120" s="1849">
        <f t="shared" si="16"/>
        <v>0</v>
      </c>
      <c r="R120" s="1843" t="s">
        <v>1982</v>
      </c>
    </row>
    <row r="121" spans="1:18" ht="16.5">
      <c r="A121" s="1844" t="s">
        <v>2028</v>
      </c>
      <c r="B121" s="1844" t="s">
        <v>2070</v>
      </c>
      <c r="C121" s="1844" t="s">
        <v>2071</v>
      </c>
      <c r="D121" s="1844" t="s">
        <v>2067</v>
      </c>
      <c r="E121" s="1845"/>
      <c r="F121" s="1845"/>
      <c r="G121" s="1846">
        <v>50</v>
      </c>
      <c r="H121" s="1844" t="s">
        <v>1982</v>
      </c>
      <c r="I121" s="1846">
        <v>0</v>
      </c>
      <c r="J121" s="1844" t="s">
        <v>1982</v>
      </c>
      <c r="K121" s="1847">
        <f t="shared" si="13"/>
        <v>50</v>
      </c>
      <c r="L121" s="1848">
        <f t="shared" si="17"/>
        <v>0</v>
      </c>
      <c r="M121" s="1848">
        <f t="shared" si="18"/>
        <v>0</v>
      </c>
      <c r="N121" s="1848">
        <f t="shared" si="19"/>
        <v>0</v>
      </c>
      <c r="O121" s="1849">
        <f t="shared" si="14"/>
        <v>0</v>
      </c>
      <c r="P121" s="1849">
        <f t="shared" si="15"/>
        <v>0</v>
      </c>
      <c r="Q121" s="1849">
        <f t="shared" si="16"/>
        <v>0</v>
      </c>
      <c r="R121" s="1843" t="s">
        <v>1982</v>
      </c>
    </row>
    <row r="122" spans="1:18" ht="16.5">
      <c r="A122" s="1844" t="s">
        <v>2072</v>
      </c>
      <c r="B122" s="1844" t="s">
        <v>2073</v>
      </c>
      <c r="C122" s="1844" t="s">
        <v>2074</v>
      </c>
      <c r="D122" s="1844" t="s">
        <v>1984</v>
      </c>
      <c r="E122" s="1845">
        <v>9714.1986411679973</v>
      </c>
      <c r="F122" s="1845">
        <f>RESULTADOS!N6</f>
        <v>7891.6240362016451</v>
      </c>
      <c r="G122" s="1846">
        <v>20</v>
      </c>
      <c r="H122" s="1844" t="s">
        <v>1982</v>
      </c>
      <c r="I122" s="1846">
        <v>20</v>
      </c>
      <c r="J122" s="1844" t="s">
        <v>1982</v>
      </c>
      <c r="K122" s="1847">
        <f t="shared" si="13"/>
        <v>28.284271247461902</v>
      </c>
      <c r="L122" s="1848">
        <f t="shared" si="17"/>
        <v>334.58025253513671</v>
      </c>
      <c r="M122" s="1848">
        <f t="shared" si="18"/>
        <v>0.10730186263619412</v>
      </c>
      <c r="N122" s="1848">
        <f t="shared" si="19"/>
        <v>0.61737413554482379</v>
      </c>
      <c r="O122" s="1849">
        <f t="shared" si="14"/>
        <v>17.461977510917105</v>
      </c>
      <c r="P122" s="1849">
        <f t="shared" si="15"/>
        <v>17.461977510917105</v>
      </c>
      <c r="Q122" s="1849">
        <f t="shared" si="16"/>
        <v>609.84131718354945</v>
      </c>
      <c r="R122" s="1843" t="s">
        <v>1982</v>
      </c>
    </row>
    <row r="123" spans="1:18" ht="16.5">
      <c r="A123" s="1844" t="s">
        <v>2072</v>
      </c>
      <c r="B123" s="1844" t="s">
        <v>2075</v>
      </c>
      <c r="C123" s="1844" t="s">
        <v>2076</v>
      </c>
      <c r="D123" s="1844" t="s">
        <v>1984</v>
      </c>
      <c r="E123" s="1845">
        <v>577.19793570260026</v>
      </c>
      <c r="F123" s="1845">
        <f>RESULTADOS!N7</f>
        <v>443.09104086412026</v>
      </c>
      <c r="G123" s="1846">
        <v>20</v>
      </c>
      <c r="H123" s="1844" t="s">
        <v>1982</v>
      </c>
      <c r="I123" s="1846">
        <v>20</v>
      </c>
      <c r="J123" s="1844" t="s">
        <v>1982</v>
      </c>
      <c r="K123" s="1847">
        <f t="shared" si="13"/>
        <v>28.284271247461902</v>
      </c>
      <c r="L123" s="1848">
        <f t="shared" si="17"/>
        <v>1.0547595554491958</v>
      </c>
      <c r="M123" s="1848">
        <f t="shared" si="18"/>
        <v>8.4397083254241778E-3</v>
      </c>
      <c r="N123" s="1848">
        <f t="shared" si="19"/>
        <v>3.4663707630553507E-2</v>
      </c>
      <c r="O123" s="1849">
        <f t="shared" si="14"/>
        <v>0.98043770906529037</v>
      </c>
      <c r="P123" s="1849">
        <f t="shared" si="15"/>
        <v>0.98043770906529037</v>
      </c>
      <c r="Q123" s="1849">
        <f t="shared" si="16"/>
        <v>1.9225162027143901</v>
      </c>
      <c r="R123" s="1843" t="s">
        <v>1982</v>
      </c>
    </row>
    <row r="124" spans="1:18" ht="16.5">
      <c r="A124" s="1844" t="s">
        <v>2072</v>
      </c>
      <c r="B124" s="1844" t="s">
        <v>2075</v>
      </c>
      <c r="C124" s="1844" t="s">
        <v>2076</v>
      </c>
      <c r="D124" s="1844" t="s">
        <v>1985</v>
      </c>
      <c r="E124" s="1845">
        <v>317.21786637873572</v>
      </c>
      <c r="F124" s="1845">
        <f>RESULTADOS!N8</f>
        <v>271.80578573792371</v>
      </c>
      <c r="G124" s="1846">
        <v>20</v>
      </c>
      <c r="H124" s="1844" t="s">
        <v>1982</v>
      </c>
      <c r="I124" s="1846">
        <v>50</v>
      </c>
      <c r="J124" s="1844" t="s">
        <v>1982</v>
      </c>
      <c r="K124" s="1847">
        <f>SQRT(G124^2+I124^2)</f>
        <v>53.851648071345039</v>
      </c>
      <c r="L124" s="1848">
        <f t="shared" si="17"/>
        <v>1.4387751748776481</v>
      </c>
      <c r="M124" s="1848">
        <f t="shared" si="18"/>
        <v>2.4265807295673625E-3</v>
      </c>
      <c r="N124" s="1848">
        <f t="shared" si="19"/>
        <v>2.1263793261849264E-2</v>
      </c>
      <c r="O124" s="1849">
        <f t="shared" si="14"/>
        <v>1.503577240920243</v>
      </c>
      <c r="P124" s="1849">
        <f t="shared" si="15"/>
        <v>0.60143089636809732</v>
      </c>
      <c r="Q124" s="1849">
        <f t="shared" si="16"/>
        <v>2.6224636425194636</v>
      </c>
      <c r="R124" s="1843" t="s">
        <v>1982</v>
      </c>
    </row>
    <row r="125" spans="1:18" ht="16.5">
      <c r="A125" s="1844" t="s">
        <v>2072</v>
      </c>
      <c r="B125" s="1844" t="s">
        <v>2077</v>
      </c>
      <c r="C125" s="1844" t="s">
        <v>2078</v>
      </c>
      <c r="D125" s="1844" t="s">
        <v>1985</v>
      </c>
      <c r="E125" s="1845">
        <v>1008.1732804050929</v>
      </c>
      <c r="F125" s="1845">
        <f>RESULTADOS!N12</f>
        <v>1569.699698806575</v>
      </c>
      <c r="G125" s="1846">
        <v>25</v>
      </c>
      <c r="H125" s="1844" t="s">
        <v>1982</v>
      </c>
      <c r="I125" s="1846">
        <v>30</v>
      </c>
      <c r="J125" s="1844" t="s">
        <v>1982</v>
      </c>
      <c r="K125" s="1847">
        <f t="shared" si="13"/>
        <v>39.05124837953327</v>
      </c>
      <c r="L125" s="1848">
        <f t="shared" si="17"/>
        <v>25.23367686890569</v>
      </c>
      <c r="M125" s="1848">
        <f t="shared" si="18"/>
        <v>4.7468609863313027E-2</v>
      </c>
      <c r="N125" s="1848">
        <f t="shared" si="19"/>
        <v>0.12280007133767586</v>
      </c>
      <c r="O125" s="1849">
        <f t="shared" si="14"/>
        <v>5.2099657903837437</v>
      </c>
      <c r="P125" s="1849">
        <f t="shared" si="15"/>
        <v>4.3416381586531196</v>
      </c>
      <c r="Q125" s="1849">
        <f t="shared" si="16"/>
        <v>45.993565437641763</v>
      </c>
      <c r="R125" s="1843" t="s">
        <v>1982</v>
      </c>
    </row>
    <row r="126" spans="1:18" ht="16.5">
      <c r="A126" s="1844" t="s">
        <v>2072</v>
      </c>
      <c r="B126" s="1844" t="s">
        <v>2079</v>
      </c>
      <c r="C126" s="1875" t="s">
        <v>2122</v>
      </c>
      <c r="D126" s="1844" t="s">
        <v>1985</v>
      </c>
      <c r="E126" s="1845">
        <v>218.65791546636703</v>
      </c>
      <c r="F126" s="1845">
        <f>RESULTADOS!D46*RESULTADOS!E58</f>
        <v>241.95147194348121</v>
      </c>
      <c r="G126" s="1846">
        <v>25</v>
      </c>
      <c r="H126" s="1844" t="s">
        <v>1982</v>
      </c>
      <c r="I126" s="1846">
        <v>30</v>
      </c>
      <c r="J126" s="1844" t="s">
        <v>1982</v>
      </c>
      <c r="K126" s="1847">
        <f t="shared" si="13"/>
        <v>39.05124837953327</v>
      </c>
      <c r="L126" s="1848">
        <f t="shared" si="17"/>
        <v>0.59952034349484595</v>
      </c>
      <c r="M126" s="1848">
        <f t="shared" si="18"/>
        <v>2.597636072705356E-3</v>
      </c>
      <c r="N126" s="1848">
        <f t="shared" si="19"/>
        <v>1.8928243432488778E-2</v>
      </c>
      <c r="O126" s="1849">
        <f t="shared" si="14"/>
        <v>0.80305735722375293</v>
      </c>
      <c r="P126" s="1849">
        <f t="shared" si="15"/>
        <v>0.66921446435312748</v>
      </c>
      <c r="Q126" s="1849">
        <f t="shared" si="16"/>
        <v>1.0927491182906417</v>
      </c>
      <c r="R126" s="1843" t="s">
        <v>1982</v>
      </c>
    </row>
    <row r="127" spans="1:18" ht="16.5">
      <c r="A127" s="1844" t="s">
        <v>2072</v>
      </c>
      <c r="B127" s="1844" t="s">
        <v>2081</v>
      </c>
      <c r="C127" s="1844" t="s">
        <v>1751</v>
      </c>
      <c r="D127" s="1844" t="s">
        <v>1984</v>
      </c>
      <c r="E127" s="1845">
        <v>38.039536827480184</v>
      </c>
      <c r="F127" s="1845">
        <f>RESULTADOS!C51*RESULTADOS!E57</f>
        <v>43.874789404776422</v>
      </c>
      <c r="G127" s="1846">
        <v>55</v>
      </c>
      <c r="H127" s="1844" t="s">
        <v>1982</v>
      </c>
      <c r="I127" s="1846">
        <v>75</v>
      </c>
      <c r="J127" s="1844" t="s">
        <v>1982</v>
      </c>
      <c r="K127" s="1847">
        <f t="shared" si="13"/>
        <v>93.005376188691372</v>
      </c>
      <c r="L127" s="1848">
        <f t="shared" si="17"/>
        <v>0.11182109508880587</v>
      </c>
      <c r="M127" s="1848">
        <f t="shared" si="18"/>
        <v>5.9144601825078524E-4</v>
      </c>
      <c r="N127" s="1848">
        <f t="shared" si="19"/>
        <v>3.4323936437831732E-3</v>
      </c>
      <c r="O127" s="1849">
        <f t="shared" si="14"/>
        <v>0.36406032318310272</v>
      </c>
      <c r="P127" s="1849">
        <f t="shared" si="15"/>
        <v>0.26697757033427533</v>
      </c>
      <c r="Q127" s="1849">
        <f t="shared" si="16"/>
        <v>0.20381694197777811</v>
      </c>
      <c r="R127" s="1843" t="s">
        <v>1982</v>
      </c>
    </row>
    <row r="128" spans="1:18" ht="16.5">
      <c r="A128" s="1844" t="s">
        <v>2072</v>
      </c>
      <c r="B128" s="1844" t="s">
        <v>2081</v>
      </c>
      <c r="C128" s="1844" t="s">
        <v>1751</v>
      </c>
      <c r="D128" s="1844" t="s">
        <v>1985</v>
      </c>
      <c r="E128" s="1845">
        <v>9.8983598689153922</v>
      </c>
      <c r="F128" s="1845">
        <f>RESULTADOS!D51*RESULTADOS!E58</f>
        <v>10.765573326171992</v>
      </c>
      <c r="G128" s="1846">
        <v>45</v>
      </c>
      <c r="H128" s="1844" t="s">
        <v>1982</v>
      </c>
      <c r="I128" s="1846">
        <v>75</v>
      </c>
      <c r="J128" s="1844" t="s">
        <v>1982</v>
      </c>
      <c r="K128" s="1847">
        <f t="shared" si="13"/>
        <v>87.464278422679513</v>
      </c>
      <c r="L128" s="1848">
        <f t="shared" si="17"/>
        <v>5.9540613557229755E-3</v>
      </c>
      <c r="M128" s="1848">
        <f t="shared" si="18"/>
        <v>1.02961630372711E-4</v>
      </c>
      <c r="N128" s="1848">
        <f t="shared" si="19"/>
        <v>8.4220769963198221E-4</v>
      </c>
      <c r="O128" s="1849">
        <f t="shared" si="14"/>
        <v>8.9329616336594642E-2</v>
      </c>
      <c r="P128" s="1849">
        <f t="shared" si="15"/>
        <v>5.3597769801956782E-2</v>
      </c>
      <c r="Q128" s="1849">
        <f t="shared" si="16"/>
        <v>1.0852501282586748E-2</v>
      </c>
      <c r="R128" s="1843" t="s">
        <v>1982</v>
      </c>
    </row>
    <row r="129" spans="1:18" ht="16.5">
      <c r="A129" s="1844" t="s">
        <v>2072</v>
      </c>
      <c r="B129" s="1844" t="s">
        <v>2082</v>
      </c>
      <c r="C129" s="1844" t="s">
        <v>2083</v>
      </c>
      <c r="D129" s="1844" t="s">
        <v>1987</v>
      </c>
      <c r="E129" s="1845">
        <v>11.635595764490555</v>
      </c>
      <c r="F129" s="1845">
        <f>RESULTADOS!N10</f>
        <v>21.429287431628282</v>
      </c>
      <c r="G129" s="1846">
        <v>60</v>
      </c>
      <c r="H129" s="1844" t="s">
        <v>1982</v>
      </c>
      <c r="I129" s="1846">
        <v>20</v>
      </c>
      <c r="J129" s="1844" t="s">
        <v>1983</v>
      </c>
      <c r="K129" s="1847">
        <f t="shared" si="13"/>
        <v>63.245553203367585</v>
      </c>
      <c r="L129" s="1848">
        <f t="shared" si="17"/>
        <v>1.233539313768813E-2</v>
      </c>
      <c r="M129" s="1848">
        <f t="shared" si="18"/>
        <v>8.0745111829294558E-4</v>
      </c>
      <c r="N129" s="1848">
        <f t="shared" si="19"/>
        <v>1.6764467925426928E-3</v>
      </c>
      <c r="O129" s="1849">
        <f t="shared" si="14"/>
        <v>1.6149022365858912E-2</v>
      </c>
      <c r="P129" s="1849">
        <f t="shared" si="15"/>
        <v>0.14225122743664503</v>
      </c>
      <c r="Q129" s="1849">
        <f t="shared" si="16"/>
        <v>2.0496202630605122E-2</v>
      </c>
      <c r="R129" s="1843" t="s">
        <v>1982</v>
      </c>
    </row>
    <row r="130" spans="1:18" ht="16.5">
      <c r="A130" s="1844" t="s">
        <v>2072</v>
      </c>
      <c r="B130" s="1844" t="s">
        <v>2084</v>
      </c>
      <c r="C130" s="1844" t="s">
        <v>2085</v>
      </c>
      <c r="D130" s="1844" t="s">
        <v>1987</v>
      </c>
      <c r="E130" s="1845">
        <v>97.782993733333342</v>
      </c>
      <c r="F130" s="1845">
        <f>RESULTADOS!N11</f>
        <v>208.83837333333335</v>
      </c>
      <c r="G130" s="1846">
        <v>25</v>
      </c>
      <c r="H130" s="1844" t="s">
        <v>1982</v>
      </c>
      <c r="I130" s="1846">
        <v>30</v>
      </c>
      <c r="J130" s="1844" t="s">
        <v>1983</v>
      </c>
      <c r="K130" s="1847">
        <f t="shared" si="13"/>
        <v>39.05124837953327</v>
      </c>
      <c r="L130" s="1848">
        <f t="shared" si="17"/>
        <v>0.44665067130626512</v>
      </c>
      <c r="M130" s="1848">
        <f t="shared" si="18"/>
        <v>9.0342754508636602E-3</v>
      </c>
      <c r="N130" s="1848">
        <f t="shared" si="19"/>
        <v>1.6337753751800681E-2</v>
      </c>
      <c r="O130" s="1849">
        <f t="shared" si="14"/>
        <v>0.27102826352590981</v>
      </c>
      <c r="P130" s="1849">
        <f t="shared" si="15"/>
        <v>0.57762682336271109</v>
      </c>
      <c r="Q130" s="1849">
        <f t="shared" si="16"/>
        <v>0.40710906669796665</v>
      </c>
      <c r="R130" s="1843" t="s">
        <v>1982</v>
      </c>
    </row>
    <row r="131" spans="1:18" ht="16.5">
      <c r="A131" s="1844" t="s">
        <v>2072</v>
      </c>
      <c r="B131" s="1844" t="s">
        <v>2086</v>
      </c>
      <c r="C131" s="1844" t="s">
        <v>2087</v>
      </c>
      <c r="D131" s="1844" t="s">
        <v>1987</v>
      </c>
      <c r="E131" s="1845"/>
      <c r="F131" s="1845"/>
      <c r="G131" s="1846">
        <v>30</v>
      </c>
      <c r="H131" s="1844" t="s">
        <v>1982</v>
      </c>
      <c r="I131" s="1846">
        <v>0</v>
      </c>
      <c r="J131" s="1844" t="s">
        <v>1982</v>
      </c>
      <c r="K131" s="1847">
        <f t="shared" si="13"/>
        <v>30</v>
      </c>
      <c r="L131" s="1848">
        <f t="shared" ref="L131" si="20">(K131*F131)^2/F$200^2</f>
        <v>0</v>
      </c>
      <c r="M131" s="1848">
        <f t="shared" ref="M131:M194" si="21">ABS(((0.01*F131+$F$200-(0.01*E131+$E$200))/(0.01*E131+$E$200))*100-(($F$200-$E$200)/$E$200)*100)</f>
        <v>0</v>
      </c>
      <c r="N131" s="1848">
        <f t="shared" si="19"/>
        <v>0</v>
      </c>
      <c r="O131" s="1849">
        <f t="shared" si="14"/>
        <v>0</v>
      </c>
      <c r="P131" s="1849">
        <f t="shared" si="15"/>
        <v>0</v>
      </c>
      <c r="Q131" s="1849">
        <f t="shared" si="16"/>
        <v>0</v>
      </c>
      <c r="R131" s="1843" t="s">
        <v>1982</v>
      </c>
    </row>
    <row r="132" spans="1:18" ht="16.5">
      <c r="A132" s="1844" t="s">
        <v>2072</v>
      </c>
      <c r="B132" s="1844" t="s">
        <v>2088</v>
      </c>
      <c r="C132" s="1844" t="s">
        <v>2089</v>
      </c>
      <c r="D132" s="1844" t="s">
        <v>1987</v>
      </c>
      <c r="E132" s="1845"/>
      <c r="F132" s="1845"/>
      <c r="G132" s="1846">
        <v>75</v>
      </c>
      <c r="H132" s="1844" t="s">
        <v>1982</v>
      </c>
      <c r="I132" s="1846">
        <v>0</v>
      </c>
      <c r="J132" s="1844" t="s">
        <v>1982</v>
      </c>
      <c r="K132" s="1847">
        <f t="shared" ref="K132:K195" si="22">SQRT(G132^2+I132^2)</f>
        <v>75</v>
      </c>
      <c r="L132" s="1848">
        <f t="shared" ref="L132:L195" si="23">(K132*F132)^2/F$200^2</f>
        <v>0</v>
      </c>
      <c r="M132" s="1848">
        <f t="shared" si="21"/>
        <v>0</v>
      </c>
      <c r="N132" s="1848">
        <f t="shared" ref="N132:N195" si="24">ABS(F132/$E$200)</f>
        <v>0</v>
      </c>
      <c r="O132" s="1849">
        <f t="shared" ref="O132:O195" si="25">IF(J132="N",N132*I132*SQRT(2),M132*I132)</f>
        <v>0</v>
      </c>
      <c r="P132" s="1849">
        <f t="shared" ref="P132:P195" si="26">IF(H132="Y",M132*G132,N132*G132*SQRT(2))</f>
        <v>0</v>
      </c>
      <c r="Q132" s="1849">
        <f t="shared" ref="Q132:Q195" si="27">O132^2+P132^2</f>
        <v>0</v>
      </c>
      <c r="R132" s="1843" t="s">
        <v>1982</v>
      </c>
    </row>
    <row r="133" spans="1:18" ht="16.5">
      <c r="A133" s="1844" t="s">
        <v>2072</v>
      </c>
      <c r="B133" s="1844" t="s">
        <v>2090</v>
      </c>
      <c r="C133" s="1844" t="s">
        <v>2091</v>
      </c>
      <c r="D133" s="1844" t="s">
        <v>1987</v>
      </c>
      <c r="E133" s="1845"/>
      <c r="F133" s="1845"/>
      <c r="G133" s="1846">
        <v>150</v>
      </c>
      <c r="H133" s="1844" t="s">
        <v>1982</v>
      </c>
      <c r="I133" s="1846">
        <v>0</v>
      </c>
      <c r="J133" s="1844" t="s">
        <v>1982</v>
      </c>
      <c r="K133" s="1847">
        <f t="shared" si="22"/>
        <v>150</v>
      </c>
      <c r="L133" s="1848">
        <f t="shared" si="23"/>
        <v>0</v>
      </c>
      <c r="M133" s="1848">
        <f t="shared" si="21"/>
        <v>0</v>
      </c>
      <c r="N133" s="1848">
        <f t="shared" si="24"/>
        <v>0</v>
      </c>
      <c r="O133" s="1849">
        <f t="shared" si="25"/>
        <v>0</v>
      </c>
      <c r="P133" s="1849">
        <f t="shared" si="26"/>
        <v>0</v>
      </c>
      <c r="Q133" s="1849">
        <f t="shared" si="27"/>
        <v>0</v>
      </c>
      <c r="R133" s="1843" t="s">
        <v>1982</v>
      </c>
    </row>
    <row r="134" spans="1:18" ht="16.5">
      <c r="A134" s="1844" t="s">
        <v>2072</v>
      </c>
      <c r="B134" s="1844" t="s">
        <v>2092</v>
      </c>
      <c r="C134" s="1844" t="s">
        <v>2093</v>
      </c>
      <c r="D134" s="1844" t="s">
        <v>1987</v>
      </c>
      <c r="E134" s="1845"/>
      <c r="F134" s="1845"/>
      <c r="G134" s="1846">
        <v>100</v>
      </c>
      <c r="H134" s="1844" t="s">
        <v>1982</v>
      </c>
      <c r="I134" s="1846">
        <v>0</v>
      </c>
      <c r="J134" s="1844" t="s">
        <v>1982</v>
      </c>
      <c r="K134" s="1847">
        <f t="shared" si="22"/>
        <v>100</v>
      </c>
      <c r="L134" s="1848">
        <f t="shared" si="23"/>
        <v>0</v>
      </c>
      <c r="M134" s="1848">
        <f t="shared" si="21"/>
        <v>0</v>
      </c>
      <c r="N134" s="1848">
        <f t="shared" si="24"/>
        <v>0</v>
      </c>
      <c r="O134" s="1849">
        <f t="shared" si="25"/>
        <v>0</v>
      </c>
      <c r="P134" s="1849">
        <f t="shared" si="26"/>
        <v>0</v>
      </c>
      <c r="Q134" s="1849">
        <f t="shared" si="27"/>
        <v>0</v>
      </c>
      <c r="R134" s="1843" t="s">
        <v>1982</v>
      </c>
    </row>
    <row r="135" spans="1:18" ht="16.5">
      <c r="A135" s="1844" t="s">
        <v>2072</v>
      </c>
      <c r="B135" s="1844" t="s">
        <v>2094</v>
      </c>
      <c r="C135" s="1844" t="s">
        <v>2095</v>
      </c>
      <c r="D135" s="1844" t="s">
        <v>1987</v>
      </c>
      <c r="E135" s="1845"/>
      <c r="F135" s="1845"/>
      <c r="G135" s="1846">
        <v>250</v>
      </c>
      <c r="H135" s="1844" t="s">
        <v>1982</v>
      </c>
      <c r="I135" s="1846">
        <v>0</v>
      </c>
      <c r="J135" s="1844" t="s">
        <v>1982</v>
      </c>
      <c r="K135" s="1847">
        <f t="shared" si="22"/>
        <v>250</v>
      </c>
      <c r="L135" s="1848">
        <f t="shared" si="23"/>
        <v>0</v>
      </c>
      <c r="M135" s="1848">
        <f t="shared" si="21"/>
        <v>0</v>
      </c>
      <c r="N135" s="1848">
        <f t="shared" si="24"/>
        <v>0</v>
      </c>
      <c r="O135" s="1849">
        <f t="shared" si="25"/>
        <v>0</v>
      </c>
      <c r="P135" s="1849">
        <f t="shared" si="26"/>
        <v>0</v>
      </c>
      <c r="Q135" s="1849">
        <f t="shared" si="27"/>
        <v>0</v>
      </c>
      <c r="R135" s="1843" t="s">
        <v>1982</v>
      </c>
    </row>
    <row r="136" spans="1:18" ht="16.5">
      <c r="A136" s="1844" t="s">
        <v>2072</v>
      </c>
      <c r="B136" s="1844" t="s">
        <v>2096</v>
      </c>
      <c r="C136" s="1844" t="s">
        <v>2097</v>
      </c>
      <c r="D136" s="1844" t="s">
        <v>1987</v>
      </c>
      <c r="E136" s="1845"/>
      <c r="F136" s="1845"/>
      <c r="G136" s="1846">
        <v>130</v>
      </c>
      <c r="H136" s="1844" t="s">
        <v>1982</v>
      </c>
      <c r="I136" s="1846">
        <v>0</v>
      </c>
      <c r="J136" s="1844" t="s">
        <v>1982</v>
      </c>
      <c r="K136" s="1847">
        <f t="shared" si="22"/>
        <v>130</v>
      </c>
      <c r="L136" s="1848">
        <f t="shared" si="23"/>
        <v>0</v>
      </c>
      <c r="M136" s="1848">
        <f t="shared" si="21"/>
        <v>0</v>
      </c>
      <c r="N136" s="1848">
        <f t="shared" si="24"/>
        <v>0</v>
      </c>
      <c r="O136" s="1849">
        <f t="shared" si="25"/>
        <v>0</v>
      </c>
      <c r="P136" s="1849">
        <f t="shared" si="26"/>
        <v>0</v>
      </c>
      <c r="Q136" s="1849">
        <f t="shared" si="27"/>
        <v>0</v>
      </c>
      <c r="R136" s="1843" t="s">
        <v>1982</v>
      </c>
    </row>
    <row r="137" spans="1:18" ht="16.5">
      <c r="A137" s="1844" t="s">
        <v>2072</v>
      </c>
      <c r="B137" s="1844" t="s">
        <v>2098</v>
      </c>
      <c r="C137" s="1844" t="s">
        <v>2099</v>
      </c>
      <c r="D137" s="1844" t="s">
        <v>1987</v>
      </c>
      <c r="E137" s="1845"/>
      <c r="F137" s="1845"/>
      <c r="G137" s="1846">
        <v>150</v>
      </c>
      <c r="H137" s="1844" t="s">
        <v>1982</v>
      </c>
      <c r="I137" s="1846">
        <v>0</v>
      </c>
      <c r="J137" s="1844" t="s">
        <v>1982</v>
      </c>
      <c r="K137" s="1847">
        <f t="shared" si="22"/>
        <v>150</v>
      </c>
      <c r="L137" s="1848">
        <f t="shared" si="23"/>
        <v>0</v>
      </c>
      <c r="M137" s="1848">
        <f t="shared" si="21"/>
        <v>0</v>
      </c>
      <c r="N137" s="1848">
        <f t="shared" si="24"/>
        <v>0</v>
      </c>
      <c r="O137" s="1849">
        <f t="shared" si="25"/>
        <v>0</v>
      </c>
      <c r="P137" s="1849">
        <f t="shared" si="26"/>
        <v>0</v>
      </c>
      <c r="Q137" s="1849">
        <f t="shared" si="27"/>
        <v>0</v>
      </c>
      <c r="R137" s="1843" t="s">
        <v>1982</v>
      </c>
    </row>
    <row r="138" spans="1:18" ht="16.5">
      <c r="A138" s="1844" t="s">
        <v>2072</v>
      </c>
      <c r="B138" s="1844" t="s">
        <v>2100</v>
      </c>
      <c r="C138" s="1844" t="s">
        <v>2101</v>
      </c>
      <c r="D138" s="1844" t="s">
        <v>1987</v>
      </c>
      <c r="E138" s="1845"/>
      <c r="F138" s="1845"/>
      <c r="G138" s="1846">
        <v>120</v>
      </c>
      <c r="H138" s="1844" t="s">
        <v>1982</v>
      </c>
      <c r="I138" s="1846">
        <v>0</v>
      </c>
      <c r="J138" s="1844" t="s">
        <v>1982</v>
      </c>
      <c r="K138" s="1847">
        <f t="shared" si="22"/>
        <v>120</v>
      </c>
      <c r="L138" s="1848">
        <f t="shared" si="23"/>
        <v>0</v>
      </c>
      <c r="M138" s="1848">
        <f t="shared" si="21"/>
        <v>0</v>
      </c>
      <c r="N138" s="1848">
        <f t="shared" si="24"/>
        <v>0</v>
      </c>
      <c r="O138" s="1849">
        <f t="shared" si="25"/>
        <v>0</v>
      </c>
      <c r="P138" s="1849">
        <f t="shared" si="26"/>
        <v>0</v>
      </c>
      <c r="Q138" s="1849">
        <f t="shared" si="27"/>
        <v>0</v>
      </c>
      <c r="R138" s="1843" t="s">
        <v>1982</v>
      </c>
    </row>
    <row r="139" spans="1:18" ht="16.5">
      <c r="A139" s="1844" t="s">
        <v>2072</v>
      </c>
      <c r="B139" s="1844" t="s">
        <v>2102</v>
      </c>
      <c r="C139" s="1844" t="s">
        <v>2103</v>
      </c>
      <c r="D139" s="1844" t="s">
        <v>1987</v>
      </c>
      <c r="E139" s="1845"/>
      <c r="F139" s="1845"/>
      <c r="G139" s="1846">
        <v>0</v>
      </c>
      <c r="H139" s="1844" t="s">
        <v>1982</v>
      </c>
      <c r="I139" s="1846">
        <v>0</v>
      </c>
      <c r="J139" s="1844" t="s">
        <v>1982</v>
      </c>
      <c r="K139" s="1847">
        <f t="shared" si="22"/>
        <v>0</v>
      </c>
      <c r="L139" s="1848">
        <f t="shared" si="23"/>
        <v>0</v>
      </c>
      <c r="M139" s="1848">
        <f t="shared" si="21"/>
        <v>0</v>
      </c>
      <c r="N139" s="1848">
        <f t="shared" si="24"/>
        <v>0</v>
      </c>
      <c r="O139" s="1849">
        <f t="shared" si="25"/>
        <v>0</v>
      </c>
      <c r="P139" s="1849">
        <f t="shared" si="26"/>
        <v>0</v>
      </c>
      <c r="Q139" s="1849">
        <f t="shared" si="27"/>
        <v>0</v>
      </c>
      <c r="R139" s="1843" t="s">
        <v>1982</v>
      </c>
    </row>
    <row r="140" spans="1:18" ht="16.5">
      <c r="A140" s="1844" t="s">
        <v>2072</v>
      </c>
      <c r="B140" s="1844" t="s">
        <v>2104</v>
      </c>
      <c r="C140" s="1844" t="s">
        <v>2105</v>
      </c>
      <c r="D140" s="1844" t="s">
        <v>1987</v>
      </c>
      <c r="E140" s="1845"/>
      <c r="F140" s="1845"/>
      <c r="G140" s="1846">
        <v>75</v>
      </c>
      <c r="H140" s="1844" t="s">
        <v>1982</v>
      </c>
      <c r="I140" s="1846">
        <v>0</v>
      </c>
      <c r="J140" s="1844" t="s">
        <v>1982</v>
      </c>
      <c r="K140" s="1847">
        <f t="shared" si="22"/>
        <v>75</v>
      </c>
      <c r="L140" s="1848">
        <f t="shared" si="23"/>
        <v>0</v>
      </c>
      <c r="M140" s="1848">
        <f t="shared" si="21"/>
        <v>0</v>
      </c>
      <c r="N140" s="1848">
        <f t="shared" si="24"/>
        <v>0</v>
      </c>
      <c r="O140" s="1849">
        <f t="shared" si="25"/>
        <v>0</v>
      </c>
      <c r="P140" s="1849">
        <f t="shared" si="26"/>
        <v>0</v>
      </c>
      <c r="Q140" s="1849">
        <f t="shared" si="27"/>
        <v>0</v>
      </c>
      <c r="R140" s="1843" t="s">
        <v>1982</v>
      </c>
    </row>
    <row r="141" spans="1:18" ht="16.5">
      <c r="A141" s="1844" t="s">
        <v>2072</v>
      </c>
      <c r="B141" s="1844" t="s">
        <v>2106</v>
      </c>
      <c r="C141" s="1844" t="s">
        <v>2107</v>
      </c>
      <c r="D141" s="1844" t="s">
        <v>1987</v>
      </c>
      <c r="E141" s="1845"/>
      <c r="F141" s="1845"/>
      <c r="G141" s="1846">
        <v>50</v>
      </c>
      <c r="H141" s="1844" t="s">
        <v>1982</v>
      </c>
      <c r="I141" s="1846">
        <v>0</v>
      </c>
      <c r="J141" s="1844" t="s">
        <v>1982</v>
      </c>
      <c r="K141" s="1847">
        <f t="shared" si="22"/>
        <v>50</v>
      </c>
      <c r="L141" s="1848">
        <f t="shared" si="23"/>
        <v>0</v>
      </c>
      <c r="M141" s="1848">
        <f t="shared" si="21"/>
        <v>0</v>
      </c>
      <c r="N141" s="1848">
        <f t="shared" si="24"/>
        <v>0</v>
      </c>
      <c r="O141" s="1849">
        <f t="shared" si="25"/>
        <v>0</v>
      </c>
      <c r="P141" s="1849">
        <f t="shared" si="26"/>
        <v>0</v>
      </c>
      <c r="Q141" s="1849">
        <f t="shared" si="27"/>
        <v>0</v>
      </c>
      <c r="R141" s="1843" t="s">
        <v>1982</v>
      </c>
    </row>
    <row r="142" spans="1:18" ht="16.5">
      <c r="A142" s="1844" t="s">
        <v>2072</v>
      </c>
      <c r="B142" s="1844" t="s">
        <v>2077</v>
      </c>
      <c r="C142" s="1844" t="s">
        <v>2108</v>
      </c>
      <c r="D142" s="1844" t="s">
        <v>1985</v>
      </c>
      <c r="E142" s="1845">
        <v>319.66618669920467</v>
      </c>
      <c r="F142" s="1876">
        <f>(('3C4 Suelos Agricolas N2O Direct'!I14+'3C4 Suelos Agricolas N2O Direct'!I15)/1000000)*(44/28)*RESULTADOS!E58</f>
        <v>909.17785522605357</v>
      </c>
      <c r="G142" s="1846">
        <v>25</v>
      </c>
      <c r="H142" s="1844" t="s">
        <v>1982</v>
      </c>
      <c r="I142" s="1846">
        <v>30</v>
      </c>
      <c r="J142" s="1844" t="s">
        <v>1983</v>
      </c>
      <c r="K142" s="1847">
        <f t="shared" si="22"/>
        <v>39.05124837953327</v>
      </c>
      <c r="L142" s="1848">
        <f t="shared" si="23"/>
        <v>8.465353254837634</v>
      </c>
      <c r="M142" s="1848">
        <f t="shared" si="21"/>
        <v>4.7240771162770478E-2</v>
      </c>
      <c r="N142" s="1848">
        <f t="shared" si="24"/>
        <v>7.1126410717463048E-2</v>
      </c>
      <c r="O142" s="1849">
        <f t="shared" si="25"/>
        <v>1.4172231348831144</v>
      </c>
      <c r="P142" s="1849">
        <f t="shared" si="26"/>
        <v>2.5146983669888829</v>
      </c>
      <c r="Q142" s="1849">
        <f t="shared" si="27"/>
        <v>8.3322292909844755</v>
      </c>
      <c r="R142" s="1843" t="s">
        <v>1982</v>
      </c>
    </row>
    <row r="143" spans="1:18" ht="16.5">
      <c r="A143" s="1844" t="s">
        <v>2072</v>
      </c>
      <c r="B143" s="1844" t="s">
        <v>2077</v>
      </c>
      <c r="C143" s="1875" t="s">
        <v>2109</v>
      </c>
      <c r="D143" s="1844" t="s">
        <v>1984</v>
      </c>
      <c r="E143" s="1845"/>
      <c r="F143" s="1845"/>
      <c r="G143" s="1846">
        <v>100</v>
      </c>
      <c r="H143" s="1844" t="s">
        <v>1982</v>
      </c>
      <c r="I143" s="1846">
        <v>100</v>
      </c>
      <c r="J143" s="1844" t="s">
        <v>1982</v>
      </c>
      <c r="K143" s="1847">
        <f t="shared" si="22"/>
        <v>141.42135623730951</v>
      </c>
      <c r="L143" s="1848">
        <f t="shared" si="23"/>
        <v>0</v>
      </c>
      <c r="M143" s="1848">
        <f t="shared" si="21"/>
        <v>0</v>
      </c>
      <c r="N143" s="1848">
        <f t="shared" si="24"/>
        <v>0</v>
      </c>
      <c r="O143" s="1849">
        <f t="shared" si="25"/>
        <v>0</v>
      </c>
      <c r="P143" s="1849">
        <f t="shared" si="26"/>
        <v>0</v>
      </c>
      <c r="Q143" s="1849">
        <f t="shared" si="27"/>
        <v>0</v>
      </c>
      <c r="R143" s="1843" t="s">
        <v>1982</v>
      </c>
    </row>
    <row r="144" spans="1:18" ht="16.5">
      <c r="A144" s="1844" t="s">
        <v>2072</v>
      </c>
      <c r="B144" s="1844" t="s">
        <v>2077</v>
      </c>
      <c r="C144" s="1844" t="s">
        <v>2109</v>
      </c>
      <c r="D144" s="1844" t="s">
        <v>1985</v>
      </c>
      <c r="E144" s="1845">
        <v>5.6634036887999999</v>
      </c>
      <c r="F144" s="1845">
        <f>('3C4 Suelos Agricolas N2O Direct'!P21/1000000)*(44/28)*RESULTADOS!E58</f>
        <v>10.994886282285714</v>
      </c>
      <c r="G144" s="1846">
        <v>80</v>
      </c>
      <c r="H144" s="1844" t="s">
        <v>1982</v>
      </c>
      <c r="I144" s="1846">
        <v>50</v>
      </c>
      <c r="J144" s="1844" t="s">
        <v>1982</v>
      </c>
      <c r="K144" s="1847">
        <f t="shared" si="22"/>
        <v>94.339811320566042</v>
      </c>
      <c r="L144" s="1848">
        <f t="shared" si="23"/>
        <v>7.2251860421966574E-3</v>
      </c>
      <c r="M144" s="1848">
        <f t="shared" si="21"/>
        <v>4.3718182914265213E-4</v>
      </c>
      <c r="N144" s="1848">
        <f t="shared" si="24"/>
        <v>8.6014721213289427E-4</v>
      </c>
      <c r="O144" s="1849">
        <f t="shared" si="25"/>
        <v>6.082159265178734E-2</v>
      </c>
      <c r="P144" s="1849">
        <f t="shared" si="26"/>
        <v>9.7314548242859733E-2</v>
      </c>
      <c r="Q144" s="1849">
        <f t="shared" si="27"/>
        <v>1.3169387432411826E-2</v>
      </c>
      <c r="R144" s="1843" t="s">
        <v>1982</v>
      </c>
    </row>
    <row r="145" spans="1:18" ht="16.5">
      <c r="A145" s="1844" t="s">
        <v>2072</v>
      </c>
      <c r="B145" s="1844" t="s">
        <v>2077</v>
      </c>
      <c r="C145" s="1844" t="s">
        <v>2110</v>
      </c>
      <c r="D145" s="1844" t="s">
        <v>1985</v>
      </c>
      <c r="E145" s="1845"/>
      <c r="F145" s="1845"/>
      <c r="G145" s="1846">
        <v>10</v>
      </c>
      <c r="H145" s="1844" t="s">
        <v>1982</v>
      </c>
      <c r="I145" s="1846">
        <v>200</v>
      </c>
      <c r="J145" s="1844" t="s">
        <v>1983</v>
      </c>
      <c r="K145" s="1847">
        <f t="shared" si="22"/>
        <v>200.24984394500785</v>
      </c>
      <c r="L145" s="1848">
        <f t="shared" si="23"/>
        <v>0</v>
      </c>
      <c r="M145" s="1848">
        <f t="shared" si="21"/>
        <v>0</v>
      </c>
      <c r="N145" s="1848">
        <f t="shared" si="24"/>
        <v>0</v>
      </c>
      <c r="O145" s="1849">
        <f t="shared" si="25"/>
        <v>0</v>
      </c>
      <c r="P145" s="1849">
        <f t="shared" si="26"/>
        <v>0</v>
      </c>
      <c r="Q145" s="1849">
        <f t="shared" si="27"/>
        <v>0</v>
      </c>
      <c r="R145" s="1843" t="s">
        <v>1982</v>
      </c>
    </row>
    <row r="146" spans="1:18" ht="16.5">
      <c r="A146" s="1844" t="s">
        <v>2072</v>
      </c>
      <c r="B146" s="1844" t="s">
        <v>2079</v>
      </c>
      <c r="C146" s="1844" t="s">
        <v>2111</v>
      </c>
      <c r="D146" s="1844" t="s">
        <v>1985</v>
      </c>
      <c r="E146" s="1845">
        <v>414.91531047305926</v>
      </c>
      <c r="F146" s="1845">
        <f>RESULTADOS!D47*RESULTADOS!E58</f>
        <v>524.95558067329853</v>
      </c>
      <c r="G146" s="1846">
        <v>25</v>
      </c>
      <c r="H146" s="1844" t="s">
        <v>1982</v>
      </c>
      <c r="I146" s="1846">
        <v>30</v>
      </c>
      <c r="J146" s="1844" t="s">
        <v>1982</v>
      </c>
      <c r="K146" s="1847">
        <f t="shared" si="22"/>
        <v>39.05124837953327</v>
      </c>
      <c r="L146" s="1848">
        <f t="shared" si="23"/>
        <v>2.8222306327066744</v>
      </c>
      <c r="M146" s="1848">
        <f t="shared" si="21"/>
        <v>1.0077453759929966E-2</v>
      </c>
      <c r="N146" s="1848">
        <f t="shared" si="24"/>
        <v>4.1068099079590706E-2</v>
      </c>
      <c r="O146" s="1849">
        <f t="shared" si="25"/>
        <v>1.742371880977176</v>
      </c>
      <c r="P146" s="1849">
        <f t="shared" si="26"/>
        <v>1.4519765674809801</v>
      </c>
      <c r="Q146" s="1849">
        <f t="shared" si="27"/>
        <v>5.1440957241337912</v>
      </c>
      <c r="R146" s="1843" t="s">
        <v>1982</v>
      </c>
    </row>
    <row r="147" spans="1:18" ht="16.5">
      <c r="A147" s="1844" t="s">
        <v>2072</v>
      </c>
      <c r="B147" s="1844" t="s">
        <v>2112</v>
      </c>
      <c r="C147" s="1844" t="s">
        <v>2113</v>
      </c>
      <c r="D147" s="1844" t="s">
        <v>1987</v>
      </c>
      <c r="E147" s="1845"/>
      <c r="F147" s="1845"/>
      <c r="G147" s="1846">
        <v>10</v>
      </c>
      <c r="H147" s="1844" t="s">
        <v>1982</v>
      </c>
      <c r="I147" s="1846">
        <v>70</v>
      </c>
      <c r="J147" s="1844" t="s">
        <v>1982</v>
      </c>
      <c r="K147" s="1847">
        <f t="shared" si="22"/>
        <v>70.710678118654755</v>
      </c>
      <c r="L147" s="1848">
        <f t="shared" si="23"/>
        <v>0</v>
      </c>
      <c r="M147" s="1848">
        <f t="shared" si="21"/>
        <v>0</v>
      </c>
      <c r="N147" s="1848">
        <f t="shared" si="24"/>
        <v>0</v>
      </c>
      <c r="O147" s="1849">
        <f t="shared" si="25"/>
        <v>0</v>
      </c>
      <c r="P147" s="1849">
        <f t="shared" si="26"/>
        <v>0</v>
      </c>
      <c r="Q147" s="1849">
        <f t="shared" si="27"/>
        <v>0</v>
      </c>
      <c r="R147" s="1843" t="s">
        <v>1982</v>
      </c>
    </row>
    <row r="148" spans="1:18" ht="16.5">
      <c r="A148" s="1844" t="s">
        <v>2072</v>
      </c>
      <c r="B148" s="1844" t="s">
        <v>2112</v>
      </c>
      <c r="C148" s="1844" t="s">
        <v>2113</v>
      </c>
      <c r="D148" s="1844" t="s">
        <v>1984</v>
      </c>
      <c r="E148" s="1845">
        <v>39.292094390086817</v>
      </c>
      <c r="F148" s="1845">
        <f>RESULTADOS!C51*RESULTADOS!E57</f>
        <v>43.874789404776422</v>
      </c>
      <c r="G148" s="1846">
        <v>10</v>
      </c>
      <c r="H148" s="1844" t="s">
        <v>1982</v>
      </c>
      <c r="I148" s="1846">
        <v>70</v>
      </c>
      <c r="J148" s="1844" t="s">
        <v>1982</v>
      </c>
      <c r="K148" s="1847">
        <f t="shared" si="22"/>
        <v>70.710678118654755</v>
      </c>
      <c r="L148" s="1848">
        <f t="shared" si="23"/>
        <v>6.4636471149598765E-2</v>
      </c>
      <c r="M148" s="1848">
        <f t="shared" si="21"/>
        <v>4.9790279057138065E-4</v>
      </c>
      <c r="N148" s="1848">
        <f t="shared" si="24"/>
        <v>3.4323936437831732E-3</v>
      </c>
      <c r="O148" s="1849">
        <f t="shared" si="25"/>
        <v>0.33978963497089587</v>
      </c>
      <c r="P148" s="1849">
        <f t="shared" si="26"/>
        <v>4.8541376424413696E-2</v>
      </c>
      <c r="Q148" s="1849">
        <f t="shared" si="27"/>
        <v>0.11781326125883129</v>
      </c>
      <c r="R148" s="1843" t="s">
        <v>1982</v>
      </c>
    </row>
    <row r="149" spans="1:18" ht="16.5">
      <c r="A149" s="1844" t="s">
        <v>2072</v>
      </c>
      <c r="B149" s="1844" t="s">
        <v>2112</v>
      </c>
      <c r="C149" s="1844" t="s">
        <v>2113</v>
      </c>
      <c r="D149" s="1844" t="s">
        <v>1985</v>
      </c>
      <c r="E149" s="1845">
        <v>10.224290901342036</v>
      </c>
      <c r="F149" s="1845">
        <f>RESULTADOS!D51*RESULTADOS!E58</f>
        <v>10.765573326171992</v>
      </c>
      <c r="G149" s="1846">
        <v>10</v>
      </c>
      <c r="H149" s="1844" t="s">
        <v>1982</v>
      </c>
      <c r="I149" s="1846">
        <v>70</v>
      </c>
      <c r="J149" s="1844" t="s">
        <v>1982</v>
      </c>
      <c r="K149" s="1847">
        <f t="shared" si="22"/>
        <v>70.710678118654755</v>
      </c>
      <c r="L149" s="1848">
        <f t="shared" si="23"/>
        <v>3.8915433697535779E-3</v>
      </c>
      <c r="M149" s="1848">
        <f t="shared" si="21"/>
        <v>7.8620091920278412E-5</v>
      </c>
      <c r="N149" s="1848">
        <f t="shared" si="24"/>
        <v>8.4220769963198221E-4</v>
      </c>
      <c r="O149" s="1849">
        <f t="shared" si="25"/>
        <v>8.3374308580821663E-2</v>
      </c>
      <c r="P149" s="1849">
        <f t="shared" si="26"/>
        <v>1.1910615511545953E-2</v>
      </c>
      <c r="Q149" s="1849">
        <f t="shared" si="27"/>
        <v>7.0931380931939514E-3</v>
      </c>
      <c r="R149" s="1843" t="s">
        <v>1982</v>
      </c>
    </row>
    <row r="150" spans="1:18" ht="16.5">
      <c r="A150" s="1844" t="s">
        <v>2114</v>
      </c>
      <c r="B150" s="1844" t="s">
        <v>87</v>
      </c>
      <c r="C150" s="1844" t="s">
        <v>2115</v>
      </c>
      <c r="D150" s="1844" t="s">
        <v>1984</v>
      </c>
      <c r="E150" s="1845"/>
      <c r="F150" s="1845"/>
      <c r="G150" s="1846">
        <v>34</v>
      </c>
      <c r="H150" s="1844" t="s">
        <v>1982</v>
      </c>
      <c r="I150" s="1846">
        <v>0</v>
      </c>
      <c r="J150" s="1844" t="s">
        <v>1982</v>
      </c>
      <c r="K150" s="1847">
        <f t="shared" si="22"/>
        <v>34</v>
      </c>
      <c r="L150" s="1848">
        <f t="shared" si="23"/>
        <v>0</v>
      </c>
      <c r="M150" s="1848">
        <f t="shared" si="21"/>
        <v>0</v>
      </c>
      <c r="N150" s="1848">
        <f t="shared" si="24"/>
        <v>0</v>
      </c>
      <c r="O150" s="1849">
        <f t="shared" si="25"/>
        <v>0</v>
      </c>
      <c r="P150" s="1849">
        <f t="shared" si="26"/>
        <v>0</v>
      </c>
      <c r="Q150" s="1849">
        <f t="shared" si="27"/>
        <v>0</v>
      </c>
      <c r="R150" s="1843" t="s">
        <v>1982</v>
      </c>
    </row>
    <row r="151" spans="1:18" ht="16.5">
      <c r="A151" s="1844" t="s">
        <v>2114</v>
      </c>
      <c r="B151" s="1844" t="s">
        <v>88</v>
      </c>
      <c r="C151" s="1844" t="s">
        <v>2116</v>
      </c>
      <c r="D151" s="1844" t="s">
        <v>1984</v>
      </c>
      <c r="E151" s="1845"/>
      <c r="F151" s="1845"/>
      <c r="G151" s="1846">
        <v>9</v>
      </c>
      <c r="H151" s="1844" t="s">
        <v>1982</v>
      </c>
      <c r="I151" s="1846">
        <v>55</v>
      </c>
      <c r="J151" s="1844" t="s">
        <v>1982</v>
      </c>
      <c r="K151" s="1847">
        <f t="shared" si="22"/>
        <v>55.731499172371095</v>
      </c>
      <c r="L151" s="1848">
        <f t="shared" si="23"/>
        <v>0</v>
      </c>
      <c r="M151" s="1848">
        <f t="shared" si="21"/>
        <v>0</v>
      </c>
      <c r="N151" s="1848">
        <f t="shared" si="24"/>
        <v>0</v>
      </c>
      <c r="O151" s="1849">
        <f t="shared" si="25"/>
        <v>0</v>
      </c>
      <c r="P151" s="1849">
        <f t="shared" si="26"/>
        <v>0</v>
      </c>
      <c r="Q151" s="1849">
        <f t="shared" si="27"/>
        <v>0</v>
      </c>
      <c r="R151" s="1843" t="s">
        <v>1982</v>
      </c>
    </row>
    <row r="152" spans="1:18" ht="16.5">
      <c r="A152" s="1844" t="s">
        <v>2114</v>
      </c>
      <c r="B152" s="1844" t="s">
        <v>88</v>
      </c>
      <c r="C152" s="1844" t="s">
        <v>2116</v>
      </c>
      <c r="D152" s="1844" t="s">
        <v>1985</v>
      </c>
      <c r="E152" s="1845"/>
      <c r="F152" s="1845"/>
      <c r="G152" s="1846">
        <v>16</v>
      </c>
      <c r="H152" s="1844" t="s">
        <v>1982</v>
      </c>
      <c r="I152" s="1846">
        <v>85</v>
      </c>
      <c r="J152" s="1844" t="s">
        <v>1982</v>
      </c>
      <c r="K152" s="1847">
        <f t="shared" si="22"/>
        <v>86.49277426467485</v>
      </c>
      <c r="L152" s="1848">
        <f t="shared" si="23"/>
        <v>0</v>
      </c>
      <c r="M152" s="1848">
        <f t="shared" si="21"/>
        <v>0</v>
      </c>
      <c r="N152" s="1848">
        <f t="shared" si="24"/>
        <v>0</v>
      </c>
      <c r="O152" s="1849">
        <f t="shared" si="25"/>
        <v>0</v>
      </c>
      <c r="P152" s="1849">
        <f t="shared" si="26"/>
        <v>0</v>
      </c>
      <c r="Q152" s="1849">
        <f t="shared" si="27"/>
        <v>0</v>
      </c>
      <c r="R152" s="1843" t="s">
        <v>1982</v>
      </c>
    </row>
    <row r="153" spans="1:18" ht="16.5">
      <c r="A153" s="1844" t="s">
        <v>2114</v>
      </c>
      <c r="B153" s="1844" t="s">
        <v>89</v>
      </c>
      <c r="C153" s="1844" t="s">
        <v>2117</v>
      </c>
      <c r="D153" s="1844" t="s">
        <v>1984</v>
      </c>
      <c r="E153" s="1845"/>
      <c r="F153" s="1845"/>
      <c r="G153" s="1846">
        <v>13</v>
      </c>
      <c r="H153" s="1844" t="s">
        <v>1982</v>
      </c>
      <c r="I153" s="1846">
        <v>60</v>
      </c>
      <c r="J153" s="1844" t="s">
        <v>1982</v>
      </c>
      <c r="K153" s="1847">
        <f t="shared" si="22"/>
        <v>61.392181912683313</v>
      </c>
      <c r="L153" s="1848">
        <f t="shared" si="23"/>
        <v>0</v>
      </c>
      <c r="M153" s="1848">
        <f t="shared" si="21"/>
        <v>0</v>
      </c>
      <c r="N153" s="1848">
        <f t="shared" si="24"/>
        <v>0</v>
      </c>
      <c r="O153" s="1849">
        <f t="shared" si="25"/>
        <v>0</v>
      </c>
      <c r="P153" s="1849">
        <f t="shared" si="26"/>
        <v>0</v>
      </c>
      <c r="Q153" s="1849">
        <f t="shared" si="27"/>
        <v>0</v>
      </c>
      <c r="R153" s="1843" t="s">
        <v>1982</v>
      </c>
    </row>
    <row r="154" spans="1:18" ht="16.5">
      <c r="A154" s="1844" t="s">
        <v>2114</v>
      </c>
      <c r="B154" s="1850" t="s">
        <v>89</v>
      </c>
      <c r="C154" s="1844" t="s">
        <v>2117</v>
      </c>
      <c r="D154" s="1844" t="s">
        <v>1985</v>
      </c>
      <c r="E154" s="1845"/>
      <c r="F154" s="1845"/>
      <c r="G154" s="1846">
        <v>9</v>
      </c>
      <c r="H154" s="1844" t="s">
        <v>1982</v>
      </c>
      <c r="I154" s="1846">
        <v>400</v>
      </c>
      <c r="J154" s="1844" t="s">
        <v>1983</v>
      </c>
      <c r="K154" s="1847">
        <f t="shared" si="22"/>
        <v>400.10123718878953</v>
      </c>
      <c r="L154" s="1848">
        <f t="shared" si="23"/>
        <v>0</v>
      </c>
      <c r="M154" s="1848">
        <f t="shared" si="21"/>
        <v>0</v>
      </c>
      <c r="N154" s="1848">
        <f t="shared" si="24"/>
        <v>0</v>
      </c>
      <c r="O154" s="1849">
        <f t="shared" si="25"/>
        <v>0</v>
      </c>
      <c r="P154" s="1849">
        <f t="shared" si="26"/>
        <v>0</v>
      </c>
      <c r="Q154" s="1849">
        <f t="shared" si="27"/>
        <v>0</v>
      </c>
      <c r="R154" s="1843" t="s">
        <v>1982</v>
      </c>
    </row>
    <row r="155" spans="1:18" ht="16.5">
      <c r="A155" s="1844" t="s">
        <v>1614</v>
      </c>
      <c r="B155" s="1844" t="s">
        <v>2118</v>
      </c>
      <c r="C155" s="1844" t="s">
        <v>2080</v>
      </c>
      <c r="D155" s="1844" t="s">
        <v>1987</v>
      </c>
      <c r="E155" s="1845"/>
      <c r="F155" s="1845"/>
      <c r="G155" s="1846">
        <v>16</v>
      </c>
      <c r="H155" s="1844" t="s">
        <v>1982</v>
      </c>
      <c r="I155" s="1846">
        <v>0</v>
      </c>
      <c r="J155" s="1844" t="s">
        <v>1982</v>
      </c>
      <c r="K155" s="1847">
        <f t="shared" si="22"/>
        <v>16</v>
      </c>
      <c r="L155" s="1848">
        <f t="shared" si="23"/>
        <v>0</v>
      </c>
      <c r="M155" s="1848">
        <f t="shared" si="21"/>
        <v>0</v>
      </c>
      <c r="N155" s="1848">
        <f t="shared" si="24"/>
        <v>0</v>
      </c>
      <c r="O155" s="1849">
        <f t="shared" si="25"/>
        <v>0</v>
      </c>
      <c r="P155" s="1849">
        <f t="shared" si="26"/>
        <v>0</v>
      </c>
      <c r="Q155" s="1849">
        <f t="shared" si="27"/>
        <v>0</v>
      </c>
      <c r="R155" s="1843" t="s">
        <v>1982</v>
      </c>
    </row>
    <row r="156" spans="1:18">
      <c r="A156" s="1844" t="s">
        <v>1614</v>
      </c>
      <c r="B156" s="1844"/>
      <c r="C156" s="1844"/>
      <c r="D156" s="1844"/>
      <c r="E156" s="1845"/>
      <c r="F156" s="1845"/>
      <c r="G156" s="1846"/>
      <c r="H156" s="1844" t="s">
        <v>1982</v>
      </c>
      <c r="I156" s="1846"/>
      <c r="J156" s="1844" t="s">
        <v>1983</v>
      </c>
      <c r="K156" s="1847">
        <f t="shared" si="22"/>
        <v>0</v>
      </c>
      <c r="L156" s="1848">
        <f t="shared" si="23"/>
        <v>0</v>
      </c>
      <c r="M156" s="1848">
        <f t="shared" si="21"/>
        <v>0</v>
      </c>
      <c r="N156" s="1848">
        <f t="shared" si="24"/>
        <v>0</v>
      </c>
      <c r="O156" s="1851">
        <f t="shared" si="25"/>
        <v>0</v>
      </c>
      <c r="P156" s="1851">
        <f t="shared" si="26"/>
        <v>0</v>
      </c>
      <c r="Q156" s="1851">
        <f t="shared" si="27"/>
        <v>0</v>
      </c>
      <c r="R156" s="1843" t="s">
        <v>1982</v>
      </c>
    </row>
    <row r="157" spans="1:18">
      <c r="A157" s="1844" t="s">
        <v>1614</v>
      </c>
      <c r="B157" s="1844"/>
      <c r="C157" s="1844"/>
      <c r="D157" s="1844"/>
      <c r="E157" s="1845"/>
      <c r="F157" s="1845"/>
      <c r="G157" s="1846"/>
      <c r="H157" s="1844" t="s">
        <v>1982</v>
      </c>
      <c r="I157" s="1846"/>
      <c r="J157" s="1844" t="s">
        <v>1983</v>
      </c>
      <c r="K157" s="1847">
        <f t="shared" si="22"/>
        <v>0</v>
      </c>
      <c r="L157" s="1848">
        <f t="shared" si="23"/>
        <v>0</v>
      </c>
      <c r="M157" s="1848">
        <f t="shared" si="21"/>
        <v>0</v>
      </c>
      <c r="N157" s="1848">
        <f t="shared" si="24"/>
        <v>0</v>
      </c>
      <c r="O157" s="1851">
        <f t="shared" si="25"/>
        <v>0</v>
      </c>
      <c r="P157" s="1851">
        <f t="shared" si="26"/>
        <v>0</v>
      </c>
      <c r="Q157" s="1851">
        <f t="shared" si="27"/>
        <v>0</v>
      </c>
      <c r="R157" s="1843" t="s">
        <v>1982</v>
      </c>
    </row>
    <row r="158" spans="1:18">
      <c r="A158" s="1844" t="s">
        <v>1614</v>
      </c>
      <c r="B158" s="1844"/>
      <c r="C158" s="1844"/>
      <c r="D158" s="1844"/>
      <c r="E158" s="1845"/>
      <c r="F158" s="1845"/>
      <c r="G158" s="1846"/>
      <c r="H158" s="1844" t="s">
        <v>1982</v>
      </c>
      <c r="I158" s="1846"/>
      <c r="J158" s="1844" t="s">
        <v>1983</v>
      </c>
      <c r="K158" s="1847">
        <f t="shared" si="22"/>
        <v>0</v>
      </c>
      <c r="L158" s="1848">
        <f t="shared" si="23"/>
        <v>0</v>
      </c>
      <c r="M158" s="1848">
        <f t="shared" si="21"/>
        <v>0</v>
      </c>
      <c r="N158" s="1848">
        <f t="shared" si="24"/>
        <v>0</v>
      </c>
      <c r="O158" s="1851">
        <f t="shared" si="25"/>
        <v>0</v>
      </c>
      <c r="P158" s="1851">
        <f t="shared" si="26"/>
        <v>0</v>
      </c>
      <c r="Q158" s="1851">
        <f t="shared" si="27"/>
        <v>0</v>
      </c>
      <c r="R158" s="1843" t="s">
        <v>1982</v>
      </c>
    </row>
    <row r="159" spans="1:18">
      <c r="A159" s="1844" t="s">
        <v>1614</v>
      </c>
      <c r="B159" s="1844"/>
      <c r="C159" s="1844"/>
      <c r="D159" s="1844"/>
      <c r="E159" s="1845"/>
      <c r="F159" s="1845"/>
      <c r="G159" s="1846"/>
      <c r="H159" s="1844" t="s">
        <v>1982</v>
      </c>
      <c r="I159" s="1846"/>
      <c r="J159" s="1844" t="s">
        <v>1983</v>
      </c>
      <c r="K159" s="1847">
        <f t="shared" si="22"/>
        <v>0</v>
      </c>
      <c r="L159" s="1848">
        <f t="shared" si="23"/>
        <v>0</v>
      </c>
      <c r="M159" s="1848">
        <f t="shared" si="21"/>
        <v>0</v>
      </c>
      <c r="N159" s="1848">
        <f t="shared" si="24"/>
        <v>0</v>
      </c>
      <c r="O159" s="1851">
        <f t="shared" si="25"/>
        <v>0</v>
      </c>
      <c r="P159" s="1851">
        <f t="shared" si="26"/>
        <v>0</v>
      </c>
      <c r="Q159" s="1851">
        <f t="shared" si="27"/>
        <v>0</v>
      </c>
      <c r="R159" s="1843" t="s">
        <v>1982</v>
      </c>
    </row>
    <row r="160" spans="1:18">
      <c r="A160" s="1844" t="s">
        <v>1614</v>
      </c>
      <c r="B160" s="1844"/>
      <c r="C160" s="1844"/>
      <c r="D160" s="1844"/>
      <c r="E160" s="1845"/>
      <c r="F160" s="1845"/>
      <c r="G160" s="1846"/>
      <c r="H160" s="1844" t="s">
        <v>1982</v>
      </c>
      <c r="I160" s="1846"/>
      <c r="J160" s="1844" t="s">
        <v>1983</v>
      </c>
      <c r="K160" s="1847">
        <f t="shared" si="22"/>
        <v>0</v>
      </c>
      <c r="L160" s="1848">
        <f t="shared" si="23"/>
        <v>0</v>
      </c>
      <c r="M160" s="1848">
        <f t="shared" si="21"/>
        <v>0</v>
      </c>
      <c r="N160" s="1848">
        <f t="shared" si="24"/>
        <v>0</v>
      </c>
      <c r="O160" s="1851">
        <f t="shared" si="25"/>
        <v>0</v>
      </c>
      <c r="P160" s="1851">
        <f t="shared" si="26"/>
        <v>0</v>
      </c>
      <c r="Q160" s="1851">
        <f t="shared" si="27"/>
        <v>0</v>
      </c>
      <c r="R160" s="1843" t="s">
        <v>1982</v>
      </c>
    </row>
    <row r="161" spans="1:18">
      <c r="A161" s="1844" t="s">
        <v>1614</v>
      </c>
      <c r="B161" s="1844"/>
      <c r="C161" s="1844"/>
      <c r="D161" s="1844"/>
      <c r="E161" s="1845"/>
      <c r="F161" s="1845"/>
      <c r="G161" s="1846"/>
      <c r="H161" s="1844" t="s">
        <v>1982</v>
      </c>
      <c r="I161" s="1846"/>
      <c r="J161" s="1844" t="s">
        <v>1983</v>
      </c>
      <c r="K161" s="1847">
        <f t="shared" si="22"/>
        <v>0</v>
      </c>
      <c r="L161" s="1848">
        <f t="shared" si="23"/>
        <v>0</v>
      </c>
      <c r="M161" s="1848">
        <f t="shared" si="21"/>
        <v>0</v>
      </c>
      <c r="N161" s="1848">
        <f t="shared" si="24"/>
        <v>0</v>
      </c>
      <c r="O161" s="1851">
        <f t="shared" si="25"/>
        <v>0</v>
      </c>
      <c r="P161" s="1851">
        <f t="shared" si="26"/>
        <v>0</v>
      </c>
      <c r="Q161" s="1851">
        <f t="shared" si="27"/>
        <v>0</v>
      </c>
      <c r="R161" s="1843" t="s">
        <v>1982</v>
      </c>
    </row>
    <row r="162" spans="1:18">
      <c r="A162" s="1844" t="s">
        <v>1614</v>
      </c>
      <c r="B162" s="1844"/>
      <c r="C162" s="1844"/>
      <c r="D162" s="1844"/>
      <c r="E162" s="1845"/>
      <c r="F162" s="1845"/>
      <c r="G162" s="1846"/>
      <c r="H162" s="1844" t="s">
        <v>1982</v>
      </c>
      <c r="I162" s="1846"/>
      <c r="J162" s="1844" t="s">
        <v>1983</v>
      </c>
      <c r="K162" s="1847">
        <f t="shared" si="22"/>
        <v>0</v>
      </c>
      <c r="L162" s="1848">
        <f t="shared" si="23"/>
        <v>0</v>
      </c>
      <c r="M162" s="1848">
        <f t="shared" si="21"/>
        <v>0</v>
      </c>
      <c r="N162" s="1848">
        <f t="shared" si="24"/>
        <v>0</v>
      </c>
      <c r="O162" s="1851">
        <f t="shared" si="25"/>
        <v>0</v>
      </c>
      <c r="P162" s="1851">
        <f t="shared" si="26"/>
        <v>0</v>
      </c>
      <c r="Q162" s="1851">
        <f t="shared" si="27"/>
        <v>0</v>
      </c>
      <c r="R162" s="1843" t="s">
        <v>1982</v>
      </c>
    </row>
    <row r="163" spans="1:18">
      <c r="A163" s="1844" t="s">
        <v>1614</v>
      </c>
      <c r="B163" s="1844"/>
      <c r="C163" s="1844"/>
      <c r="D163" s="1844"/>
      <c r="E163" s="1845"/>
      <c r="F163" s="1845"/>
      <c r="G163" s="1846"/>
      <c r="H163" s="1844" t="s">
        <v>1982</v>
      </c>
      <c r="I163" s="1846"/>
      <c r="J163" s="1844" t="s">
        <v>1983</v>
      </c>
      <c r="K163" s="1847">
        <f t="shared" si="22"/>
        <v>0</v>
      </c>
      <c r="L163" s="1848">
        <f t="shared" si="23"/>
        <v>0</v>
      </c>
      <c r="M163" s="1848">
        <f t="shared" si="21"/>
        <v>0</v>
      </c>
      <c r="N163" s="1848">
        <f t="shared" si="24"/>
        <v>0</v>
      </c>
      <c r="O163" s="1851">
        <f t="shared" si="25"/>
        <v>0</v>
      </c>
      <c r="P163" s="1851">
        <f t="shared" si="26"/>
        <v>0</v>
      </c>
      <c r="Q163" s="1851">
        <f t="shared" si="27"/>
        <v>0</v>
      </c>
      <c r="R163" s="1843" t="s">
        <v>1982</v>
      </c>
    </row>
    <row r="164" spans="1:18">
      <c r="A164" s="1844" t="s">
        <v>1614</v>
      </c>
      <c r="B164" s="1844"/>
      <c r="C164" s="1844"/>
      <c r="D164" s="1844"/>
      <c r="E164" s="1845"/>
      <c r="F164" s="1845"/>
      <c r="G164" s="1846"/>
      <c r="H164" s="1844" t="s">
        <v>1982</v>
      </c>
      <c r="I164" s="1846"/>
      <c r="J164" s="1844" t="s">
        <v>1983</v>
      </c>
      <c r="K164" s="1847">
        <f t="shared" si="22"/>
        <v>0</v>
      </c>
      <c r="L164" s="1848">
        <f t="shared" si="23"/>
        <v>0</v>
      </c>
      <c r="M164" s="1848">
        <f t="shared" si="21"/>
        <v>0</v>
      </c>
      <c r="N164" s="1848">
        <f t="shared" si="24"/>
        <v>0</v>
      </c>
      <c r="O164" s="1851">
        <f t="shared" si="25"/>
        <v>0</v>
      </c>
      <c r="P164" s="1851">
        <f t="shared" si="26"/>
        <v>0</v>
      </c>
      <c r="Q164" s="1851">
        <f t="shared" si="27"/>
        <v>0</v>
      </c>
      <c r="R164" s="1843" t="s">
        <v>1982</v>
      </c>
    </row>
    <row r="165" spans="1:18">
      <c r="A165" s="1844" t="s">
        <v>1614</v>
      </c>
      <c r="B165" s="1844"/>
      <c r="C165" s="1844"/>
      <c r="D165" s="1844"/>
      <c r="E165" s="1845"/>
      <c r="F165" s="1845"/>
      <c r="G165" s="1846"/>
      <c r="H165" s="1844" t="s">
        <v>1982</v>
      </c>
      <c r="I165" s="1846"/>
      <c r="J165" s="1844" t="s">
        <v>1983</v>
      </c>
      <c r="K165" s="1847">
        <f t="shared" si="22"/>
        <v>0</v>
      </c>
      <c r="L165" s="1848">
        <f t="shared" si="23"/>
        <v>0</v>
      </c>
      <c r="M165" s="1848">
        <f t="shared" si="21"/>
        <v>0</v>
      </c>
      <c r="N165" s="1848">
        <f t="shared" si="24"/>
        <v>0</v>
      </c>
      <c r="O165" s="1851">
        <f t="shared" si="25"/>
        <v>0</v>
      </c>
      <c r="P165" s="1851">
        <f t="shared" si="26"/>
        <v>0</v>
      </c>
      <c r="Q165" s="1851">
        <f t="shared" si="27"/>
        <v>0</v>
      </c>
      <c r="R165" s="1843" t="s">
        <v>1982</v>
      </c>
    </row>
    <row r="166" spans="1:18">
      <c r="A166" s="1844" t="s">
        <v>1614</v>
      </c>
      <c r="B166" s="1844"/>
      <c r="C166" s="1844"/>
      <c r="D166" s="1844"/>
      <c r="E166" s="1845"/>
      <c r="F166" s="1845"/>
      <c r="G166" s="1846"/>
      <c r="H166" s="1844" t="s">
        <v>1982</v>
      </c>
      <c r="I166" s="1846"/>
      <c r="J166" s="1844" t="s">
        <v>1983</v>
      </c>
      <c r="K166" s="1847">
        <f t="shared" si="22"/>
        <v>0</v>
      </c>
      <c r="L166" s="1848">
        <f t="shared" si="23"/>
        <v>0</v>
      </c>
      <c r="M166" s="1848">
        <f t="shared" si="21"/>
        <v>0</v>
      </c>
      <c r="N166" s="1848">
        <f t="shared" si="24"/>
        <v>0</v>
      </c>
      <c r="O166" s="1851">
        <f t="shared" si="25"/>
        <v>0</v>
      </c>
      <c r="P166" s="1851">
        <f t="shared" si="26"/>
        <v>0</v>
      </c>
      <c r="Q166" s="1851">
        <f t="shared" si="27"/>
        <v>0</v>
      </c>
      <c r="R166" s="1843" t="s">
        <v>1982</v>
      </c>
    </row>
    <row r="167" spans="1:18">
      <c r="A167" s="1844" t="s">
        <v>1614</v>
      </c>
      <c r="B167" s="1844"/>
      <c r="C167" s="1844"/>
      <c r="D167" s="1844"/>
      <c r="E167" s="1845"/>
      <c r="F167" s="1845"/>
      <c r="G167" s="1846"/>
      <c r="H167" s="1844" t="s">
        <v>1982</v>
      </c>
      <c r="I167" s="1846"/>
      <c r="J167" s="1844" t="s">
        <v>1983</v>
      </c>
      <c r="K167" s="1847">
        <f t="shared" si="22"/>
        <v>0</v>
      </c>
      <c r="L167" s="1848">
        <f t="shared" si="23"/>
        <v>0</v>
      </c>
      <c r="M167" s="1848">
        <f t="shared" si="21"/>
        <v>0</v>
      </c>
      <c r="N167" s="1848">
        <f t="shared" si="24"/>
        <v>0</v>
      </c>
      <c r="O167" s="1851">
        <f t="shared" si="25"/>
        <v>0</v>
      </c>
      <c r="P167" s="1851">
        <f t="shared" si="26"/>
        <v>0</v>
      </c>
      <c r="Q167" s="1851">
        <f t="shared" si="27"/>
        <v>0</v>
      </c>
      <c r="R167" s="1843" t="s">
        <v>1982</v>
      </c>
    </row>
    <row r="168" spans="1:18">
      <c r="A168" s="1844" t="s">
        <v>1614</v>
      </c>
      <c r="B168" s="1844"/>
      <c r="C168" s="1844"/>
      <c r="D168" s="1844"/>
      <c r="E168" s="1845"/>
      <c r="F168" s="1845"/>
      <c r="G168" s="1846"/>
      <c r="H168" s="1844" t="s">
        <v>1982</v>
      </c>
      <c r="I168" s="1846"/>
      <c r="J168" s="1844" t="s">
        <v>1983</v>
      </c>
      <c r="K168" s="1847">
        <f t="shared" si="22"/>
        <v>0</v>
      </c>
      <c r="L168" s="1848">
        <f t="shared" si="23"/>
        <v>0</v>
      </c>
      <c r="M168" s="1848">
        <f t="shared" si="21"/>
        <v>0</v>
      </c>
      <c r="N168" s="1848">
        <f t="shared" si="24"/>
        <v>0</v>
      </c>
      <c r="O168" s="1851">
        <f t="shared" si="25"/>
        <v>0</v>
      </c>
      <c r="P168" s="1851">
        <f t="shared" si="26"/>
        <v>0</v>
      </c>
      <c r="Q168" s="1851">
        <f t="shared" si="27"/>
        <v>0</v>
      </c>
      <c r="R168" s="1843" t="s">
        <v>1982</v>
      </c>
    </row>
    <row r="169" spans="1:18">
      <c r="A169" s="1844" t="s">
        <v>1614</v>
      </c>
      <c r="B169" s="1844"/>
      <c r="C169" s="1844"/>
      <c r="D169" s="1844"/>
      <c r="E169" s="1845"/>
      <c r="F169" s="1845"/>
      <c r="G169" s="1846"/>
      <c r="H169" s="1844" t="s">
        <v>1982</v>
      </c>
      <c r="I169" s="1846"/>
      <c r="J169" s="1844" t="s">
        <v>1983</v>
      </c>
      <c r="K169" s="1847">
        <f t="shared" si="22"/>
        <v>0</v>
      </c>
      <c r="L169" s="1848">
        <f t="shared" si="23"/>
        <v>0</v>
      </c>
      <c r="M169" s="1848">
        <f t="shared" si="21"/>
        <v>0</v>
      </c>
      <c r="N169" s="1848">
        <f t="shared" si="24"/>
        <v>0</v>
      </c>
      <c r="O169" s="1851">
        <f t="shared" si="25"/>
        <v>0</v>
      </c>
      <c r="P169" s="1851">
        <f t="shared" si="26"/>
        <v>0</v>
      </c>
      <c r="Q169" s="1851">
        <f t="shared" si="27"/>
        <v>0</v>
      </c>
      <c r="R169" s="1843" t="s">
        <v>1982</v>
      </c>
    </row>
    <row r="170" spans="1:18">
      <c r="A170" s="1844" t="s">
        <v>1614</v>
      </c>
      <c r="B170" s="1844"/>
      <c r="C170" s="1844"/>
      <c r="D170" s="1844"/>
      <c r="E170" s="1845"/>
      <c r="F170" s="1845"/>
      <c r="G170" s="1846"/>
      <c r="H170" s="1844" t="s">
        <v>1982</v>
      </c>
      <c r="I170" s="1846"/>
      <c r="J170" s="1844" t="s">
        <v>1983</v>
      </c>
      <c r="K170" s="1847">
        <f t="shared" si="22"/>
        <v>0</v>
      </c>
      <c r="L170" s="1848">
        <f t="shared" si="23"/>
        <v>0</v>
      </c>
      <c r="M170" s="1848">
        <f t="shared" si="21"/>
        <v>0</v>
      </c>
      <c r="N170" s="1848">
        <f t="shared" si="24"/>
        <v>0</v>
      </c>
      <c r="O170" s="1851">
        <f t="shared" si="25"/>
        <v>0</v>
      </c>
      <c r="P170" s="1851">
        <f t="shared" si="26"/>
        <v>0</v>
      </c>
      <c r="Q170" s="1851">
        <f t="shared" si="27"/>
        <v>0</v>
      </c>
      <c r="R170" s="1843" t="s">
        <v>1982</v>
      </c>
    </row>
    <row r="171" spans="1:18">
      <c r="A171" s="1844" t="s">
        <v>1614</v>
      </c>
      <c r="B171" s="1844"/>
      <c r="C171" s="1844"/>
      <c r="D171" s="1844"/>
      <c r="E171" s="1845"/>
      <c r="F171" s="1845"/>
      <c r="G171" s="1846"/>
      <c r="H171" s="1844" t="s">
        <v>1982</v>
      </c>
      <c r="I171" s="1846"/>
      <c r="J171" s="1844" t="s">
        <v>1983</v>
      </c>
      <c r="K171" s="1847">
        <f t="shared" si="22"/>
        <v>0</v>
      </c>
      <c r="L171" s="1848">
        <f t="shared" si="23"/>
        <v>0</v>
      </c>
      <c r="M171" s="1848">
        <f t="shared" si="21"/>
        <v>0</v>
      </c>
      <c r="N171" s="1848">
        <f t="shared" si="24"/>
        <v>0</v>
      </c>
      <c r="O171" s="1851">
        <f t="shared" si="25"/>
        <v>0</v>
      </c>
      <c r="P171" s="1851">
        <f t="shared" si="26"/>
        <v>0</v>
      </c>
      <c r="Q171" s="1851">
        <f t="shared" si="27"/>
        <v>0</v>
      </c>
      <c r="R171" s="1843" t="s">
        <v>1982</v>
      </c>
    </row>
    <row r="172" spans="1:18">
      <c r="A172" s="1844" t="s">
        <v>1614</v>
      </c>
      <c r="B172" s="1844"/>
      <c r="C172" s="1844"/>
      <c r="D172" s="1844"/>
      <c r="E172" s="1845"/>
      <c r="F172" s="1845"/>
      <c r="G172" s="1846"/>
      <c r="H172" s="1844" t="s">
        <v>1982</v>
      </c>
      <c r="I172" s="1846"/>
      <c r="J172" s="1844" t="s">
        <v>1983</v>
      </c>
      <c r="K172" s="1847">
        <f t="shared" si="22"/>
        <v>0</v>
      </c>
      <c r="L172" s="1848">
        <f t="shared" si="23"/>
        <v>0</v>
      </c>
      <c r="M172" s="1848">
        <f t="shared" si="21"/>
        <v>0</v>
      </c>
      <c r="N172" s="1848">
        <f t="shared" si="24"/>
        <v>0</v>
      </c>
      <c r="O172" s="1851">
        <f t="shared" si="25"/>
        <v>0</v>
      </c>
      <c r="P172" s="1851">
        <f t="shared" si="26"/>
        <v>0</v>
      </c>
      <c r="Q172" s="1851">
        <f t="shared" si="27"/>
        <v>0</v>
      </c>
      <c r="R172" s="1843" t="s">
        <v>1982</v>
      </c>
    </row>
    <row r="173" spans="1:18">
      <c r="A173" s="1844" t="s">
        <v>1614</v>
      </c>
      <c r="B173" s="1844"/>
      <c r="C173" s="1844"/>
      <c r="D173" s="1844"/>
      <c r="E173" s="1845"/>
      <c r="F173" s="1845"/>
      <c r="G173" s="1846"/>
      <c r="H173" s="1844" t="s">
        <v>1982</v>
      </c>
      <c r="I173" s="1846"/>
      <c r="J173" s="1844" t="s">
        <v>1983</v>
      </c>
      <c r="K173" s="1847">
        <f t="shared" si="22"/>
        <v>0</v>
      </c>
      <c r="L173" s="1848">
        <f t="shared" si="23"/>
        <v>0</v>
      </c>
      <c r="M173" s="1848">
        <f t="shared" si="21"/>
        <v>0</v>
      </c>
      <c r="N173" s="1848">
        <f t="shared" si="24"/>
        <v>0</v>
      </c>
      <c r="O173" s="1851">
        <f t="shared" si="25"/>
        <v>0</v>
      </c>
      <c r="P173" s="1851">
        <f t="shared" si="26"/>
        <v>0</v>
      </c>
      <c r="Q173" s="1851">
        <f t="shared" si="27"/>
        <v>0</v>
      </c>
      <c r="R173" s="1843" t="s">
        <v>1982</v>
      </c>
    </row>
    <row r="174" spans="1:18">
      <c r="A174" s="1844" t="s">
        <v>1614</v>
      </c>
      <c r="B174" s="1844"/>
      <c r="C174" s="1844"/>
      <c r="D174" s="1844"/>
      <c r="E174" s="1845"/>
      <c r="F174" s="1845"/>
      <c r="G174" s="1846"/>
      <c r="H174" s="1844" t="s">
        <v>1982</v>
      </c>
      <c r="I174" s="1846"/>
      <c r="J174" s="1844" t="s">
        <v>1983</v>
      </c>
      <c r="K174" s="1847">
        <f t="shared" si="22"/>
        <v>0</v>
      </c>
      <c r="L174" s="1848">
        <f t="shared" si="23"/>
        <v>0</v>
      </c>
      <c r="M174" s="1848">
        <f t="shared" si="21"/>
        <v>0</v>
      </c>
      <c r="N174" s="1848">
        <f t="shared" si="24"/>
        <v>0</v>
      </c>
      <c r="O174" s="1851">
        <f t="shared" si="25"/>
        <v>0</v>
      </c>
      <c r="P174" s="1851">
        <f t="shared" si="26"/>
        <v>0</v>
      </c>
      <c r="Q174" s="1851">
        <f t="shared" si="27"/>
        <v>0</v>
      </c>
      <c r="R174" s="1843" t="s">
        <v>1982</v>
      </c>
    </row>
    <row r="175" spans="1:18">
      <c r="A175" s="1844" t="s">
        <v>1614</v>
      </c>
      <c r="B175" s="1844"/>
      <c r="C175" s="1844"/>
      <c r="D175" s="1844"/>
      <c r="E175" s="1845"/>
      <c r="F175" s="1845"/>
      <c r="G175" s="1846"/>
      <c r="H175" s="1844" t="s">
        <v>1982</v>
      </c>
      <c r="I175" s="1846"/>
      <c r="J175" s="1844" t="s">
        <v>1983</v>
      </c>
      <c r="K175" s="1847">
        <f t="shared" si="22"/>
        <v>0</v>
      </c>
      <c r="L175" s="1848">
        <f t="shared" si="23"/>
        <v>0</v>
      </c>
      <c r="M175" s="1848">
        <f t="shared" si="21"/>
        <v>0</v>
      </c>
      <c r="N175" s="1848">
        <f t="shared" si="24"/>
        <v>0</v>
      </c>
      <c r="O175" s="1851">
        <f t="shared" si="25"/>
        <v>0</v>
      </c>
      <c r="P175" s="1851">
        <f t="shared" si="26"/>
        <v>0</v>
      </c>
      <c r="Q175" s="1851">
        <f t="shared" si="27"/>
        <v>0</v>
      </c>
      <c r="R175" s="1843" t="s">
        <v>1982</v>
      </c>
    </row>
    <row r="176" spans="1:18">
      <c r="A176" s="1844" t="s">
        <v>1614</v>
      </c>
      <c r="B176" s="1844"/>
      <c r="C176" s="1844"/>
      <c r="D176" s="1844"/>
      <c r="E176" s="1845"/>
      <c r="F176" s="1845"/>
      <c r="G176" s="1846"/>
      <c r="H176" s="1844" t="s">
        <v>1982</v>
      </c>
      <c r="I176" s="1846"/>
      <c r="J176" s="1844" t="s">
        <v>1983</v>
      </c>
      <c r="K176" s="1847">
        <f t="shared" si="22"/>
        <v>0</v>
      </c>
      <c r="L176" s="1848">
        <f t="shared" si="23"/>
        <v>0</v>
      </c>
      <c r="M176" s="1848">
        <f t="shared" si="21"/>
        <v>0</v>
      </c>
      <c r="N176" s="1848">
        <f t="shared" si="24"/>
        <v>0</v>
      </c>
      <c r="O176" s="1851">
        <f t="shared" si="25"/>
        <v>0</v>
      </c>
      <c r="P176" s="1851">
        <f t="shared" si="26"/>
        <v>0</v>
      </c>
      <c r="Q176" s="1851">
        <f t="shared" si="27"/>
        <v>0</v>
      </c>
      <c r="R176" s="1843" t="s">
        <v>1982</v>
      </c>
    </row>
    <row r="177" spans="1:21">
      <c r="A177" s="1844" t="s">
        <v>1614</v>
      </c>
      <c r="B177" s="1844"/>
      <c r="C177" s="1844"/>
      <c r="D177" s="1844"/>
      <c r="E177" s="1845"/>
      <c r="F177" s="1845"/>
      <c r="G177" s="1846"/>
      <c r="H177" s="1844" t="s">
        <v>1982</v>
      </c>
      <c r="I177" s="1846"/>
      <c r="J177" s="1844" t="s">
        <v>1983</v>
      </c>
      <c r="K177" s="1847">
        <f t="shared" si="22"/>
        <v>0</v>
      </c>
      <c r="L177" s="1848">
        <f t="shared" si="23"/>
        <v>0</v>
      </c>
      <c r="M177" s="1848">
        <f t="shared" si="21"/>
        <v>0</v>
      </c>
      <c r="N177" s="1848">
        <f t="shared" si="24"/>
        <v>0</v>
      </c>
      <c r="O177" s="1851">
        <f t="shared" si="25"/>
        <v>0</v>
      </c>
      <c r="P177" s="1851">
        <f t="shared" si="26"/>
        <v>0</v>
      </c>
      <c r="Q177" s="1851">
        <f t="shared" si="27"/>
        <v>0</v>
      </c>
      <c r="R177" s="1843" t="s">
        <v>1982</v>
      </c>
    </row>
    <row r="178" spans="1:21">
      <c r="A178" s="1844" t="s">
        <v>1614</v>
      </c>
      <c r="B178" s="1844"/>
      <c r="C178" s="1844"/>
      <c r="D178" s="1844"/>
      <c r="E178" s="1845"/>
      <c r="F178" s="1845"/>
      <c r="G178" s="1846"/>
      <c r="H178" s="1844" t="s">
        <v>1982</v>
      </c>
      <c r="I178" s="1846"/>
      <c r="J178" s="1844" t="s">
        <v>1983</v>
      </c>
      <c r="K178" s="1847">
        <f t="shared" si="22"/>
        <v>0</v>
      </c>
      <c r="L178" s="1848">
        <f t="shared" si="23"/>
        <v>0</v>
      </c>
      <c r="M178" s="1848">
        <f t="shared" si="21"/>
        <v>0</v>
      </c>
      <c r="N178" s="1848">
        <f t="shared" si="24"/>
        <v>0</v>
      </c>
      <c r="O178" s="1851">
        <f t="shared" si="25"/>
        <v>0</v>
      </c>
      <c r="P178" s="1851">
        <f t="shared" si="26"/>
        <v>0</v>
      </c>
      <c r="Q178" s="1851">
        <f t="shared" si="27"/>
        <v>0</v>
      </c>
      <c r="R178" s="1843" t="s">
        <v>1982</v>
      </c>
      <c r="T178" s="1852"/>
      <c r="U178" s="1852"/>
    </row>
    <row r="179" spans="1:21">
      <c r="A179" s="1844" t="s">
        <v>1614</v>
      </c>
      <c r="B179" s="1844"/>
      <c r="C179" s="1844"/>
      <c r="D179" s="1844"/>
      <c r="E179" s="1845"/>
      <c r="F179" s="1845"/>
      <c r="G179" s="1846"/>
      <c r="H179" s="1844" t="s">
        <v>1982</v>
      </c>
      <c r="I179" s="1846"/>
      <c r="J179" s="1844" t="s">
        <v>1983</v>
      </c>
      <c r="K179" s="1847">
        <f t="shared" si="22"/>
        <v>0</v>
      </c>
      <c r="L179" s="1848">
        <f t="shared" si="23"/>
        <v>0</v>
      </c>
      <c r="M179" s="1848">
        <f t="shared" si="21"/>
        <v>0</v>
      </c>
      <c r="N179" s="1848">
        <f t="shared" si="24"/>
        <v>0</v>
      </c>
      <c r="O179" s="1851">
        <f t="shared" si="25"/>
        <v>0</v>
      </c>
      <c r="P179" s="1851">
        <f t="shared" si="26"/>
        <v>0</v>
      </c>
      <c r="Q179" s="1851">
        <f t="shared" si="27"/>
        <v>0</v>
      </c>
      <c r="R179" s="1843" t="s">
        <v>1982</v>
      </c>
      <c r="T179" s="1852"/>
      <c r="U179" s="1852"/>
    </row>
    <row r="180" spans="1:21">
      <c r="A180" s="1844" t="s">
        <v>1614</v>
      </c>
      <c r="B180" s="1844"/>
      <c r="C180" s="1844"/>
      <c r="D180" s="1844"/>
      <c r="E180" s="1845"/>
      <c r="F180" s="1845"/>
      <c r="G180" s="1846"/>
      <c r="H180" s="1844" t="s">
        <v>1982</v>
      </c>
      <c r="I180" s="1846"/>
      <c r="J180" s="1844" t="s">
        <v>1983</v>
      </c>
      <c r="K180" s="1847">
        <f t="shared" si="22"/>
        <v>0</v>
      </c>
      <c r="L180" s="1848">
        <f t="shared" si="23"/>
        <v>0</v>
      </c>
      <c r="M180" s="1848">
        <f t="shared" si="21"/>
        <v>0</v>
      </c>
      <c r="N180" s="1848">
        <f t="shared" si="24"/>
        <v>0</v>
      </c>
      <c r="O180" s="1851">
        <f t="shared" si="25"/>
        <v>0</v>
      </c>
      <c r="P180" s="1851">
        <f t="shared" si="26"/>
        <v>0</v>
      </c>
      <c r="Q180" s="1851">
        <f t="shared" si="27"/>
        <v>0</v>
      </c>
      <c r="R180" s="1843" t="s">
        <v>1982</v>
      </c>
      <c r="T180" s="1852"/>
      <c r="U180" s="1852"/>
    </row>
    <row r="181" spans="1:21">
      <c r="A181" s="1844" t="s">
        <v>1614</v>
      </c>
      <c r="B181" s="1844"/>
      <c r="C181" s="1844"/>
      <c r="D181" s="1844"/>
      <c r="E181" s="1845"/>
      <c r="F181" s="1845"/>
      <c r="G181" s="1846"/>
      <c r="H181" s="1844" t="s">
        <v>1982</v>
      </c>
      <c r="I181" s="1846"/>
      <c r="J181" s="1844" t="s">
        <v>1983</v>
      </c>
      <c r="K181" s="1847">
        <f t="shared" si="22"/>
        <v>0</v>
      </c>
      <c r="L181" s="1848">
        <f t="shared" si="23"/>
        <v>0</v>
      </c>
      <c r="M181" s="1848">
        <f t="shared" si="21"/>
        <v>0</v>
      </c>
      <c r="N181" s="1848">
        <f t="shared" si="24"/>
        <v>0</v>
      </c>
      <c r="O181" s="1851">
        <f t="shared" si="25"/>
        <v>0</v>
      </c>
      <c r="P181" s="1851">
        <f t="shared" si="26"/>
        <v>0</v>
      </c>
      <c r="Q181" s="1851">
        <f t="shared" si="27"/>
        <v>0</v>
      </c>
      <c r="R181" s="1843" t="s">
        <v>1982</v>
      </c>
      <c r="T181" s="1852"/>
      <c r="U181" s="1852"/>
    </row>
    <row r="182" spans="1:21">
      <c r="A182" s="1844" t="s">
        <v>1614</v>
      </c>
      <c r="B182" s="1844"/>
      <c r="C182" s="1844"/>
      <c r="D182" s="1844"/>
      <c r="E182" s="1845"/>
      <c r="F182" s="1845"/>
      <c r="G182" s="1846"/>
      <c r="H182" s="1844" t="s">
        <v>1982</v>
      </c>
      <c r="I182" s="1846"/>
      <c r="J182" s="1844" t="s">
        <v>1983</v>
      </c>
      <c r="K182" s="1847">
        <f t="shared" si="22"/>
        <v>0</v>
      </c>
      <c r="L182" s="1848">
        <f t="shared" si="23"/>
        <v>0</v>
      </c>
      <c r="M182" s="1848">
        <f t="shared" si="21"/>
        <v>0</v>
      </c>
      <c r="N182" s="1848">
        <f t="shared" si="24"/>
        <v>0</v>
      </c>
      <c r="O182" s="1851">
        <f t="shared" si="25"/>
        <v>0</v>
      </c>
      <c r="P182" s="1851">
        <f t="shared" si="26"/>
        <v>0</v>
      </c>
      <c r="Q182" s="1851">
        <f t="shared" si="27"/>
        <v>0</v>
      </c>
      <c r="R182" s="1843" t="s">
        <v>1982</v>
      </c>
    </row>
    <row r="183" spans="1:21">
      <c r="A183" s="1844" t="s">
        <v>1614</v>
      </c>
      <c r="B183" s="1844"/>
      <c r="C183" s="1844"/>
      <c r="D183" s="1844"/>
      <c r="E183" s="1845"/>
      <c r="F183" s="1845"/>
      <c r="G183" s="1846"/>
      <c r="H183" s="1844" t="s">
        <v>1982</v>
      </c>
      <c r="I183" s="1846"/>
      <c r="J183" s="1844" t="s">
        <v>1983</v>
      </c>
      <c r="K183" s="1847">
        <f t="shared" si="22"/>
        <v>0</v>
      </c>
      <c r="L183" s="1848">
        <f t="shared" si="23"/>
        <v>0</v>
      </c>
      <c r="M183" s="1848">
        <f t="shared" si="21"/>
        <v>0</v>
      </c>
      <c r="N183" s="1848">
        <f t="shared" si="24"/>
        <v>0</v>
      </c>
      <c r="O183" s="1851">
        <f t="shared" si="25"/>
        <v>0</v>
      </c>
      <c r="P183" s="1851">
        <f t="shared" si="26"/>
        <v>0</v>
      </c>
      <c r="Q183" s="1851">
        <f t="shared" si="27"/>
        <v>0</v>
      </c>
      <c r="R183" s="1843" t="s">
        <v>1982</v>
      </c>
    </row>
    <row r="184" spans="1:21">
      <c r="A184" s="1844" t="s">
        <v>1614</v>
      </c>
      <c r="B184" s="1844"/>
      <c r="C184" s="1844"/>
      <c r="D184" s="1844"/>
      <c r="E184" s="1845"/>
      <c r="F184" s="1845"/>
      <c r="G184" s="1846"/>
      <c r="H184" s="1844" t="s">
        <v>1982</v>
      </c>
      <c r="I184" s="1846"/>
      <c r="J184" s="1844" t="s">
        <v>1983</v>
      </c>
      <c r="K184" s="1847">
        <f t="shared" si="22"/>
        <v>0</v>
      </c>
      <c r="L184" s="1848">
        <f t="shared" si="23"/>
        <v>0</v>
      </c>
      <c r="M184" s="1848">
        <f t="shared" si="21"/>
        <v>0</v>
      </c>
      <c r="N184" s="1848">
        <f t="shared" si="24"/>
        <v>0</v>
      </c>
      <c r="O184" s="1851">
        <f t="shared" si="25"/>
        <v>0</v>
      </c>
      <c r="P184" s="1851">
        <f t="shared" si="26"/>
        <v>0</v>
      </c>
      <c r="Q184" s="1851">
        <f t="shared" si="27"/>
        <v>0</v>
      </c>
      <c r="R184" s="1843" t="s">
        <v>1982</v>
      </c>
    </row>
    <row r="185" spans="1:21">
      <c r="A185" s="1844" t="s">
        <v>1614</v>
      </c>
      <c r="B185" s="1844"/>
      <c r="C185" s="1844"/>
      <c r="D185" s="1844"/>
      <c r="E185" s="1845"/>
      <c r="F185" s="1845"/>
      <c r="G185" s="1846"/>
      <c r="H185" s="1844" t="s">
        <v>1982</v>
      </c>
      <c r="I185" s="1846"/>
      <c r="J185" s="1844" t="s">
        <v>1983</v>
      </c>
      <c r="K185" s="1847">
        <f t="shared" si="22"/>
        <v>0</v>
      </c>
      <c r="L185" s="1848">
        <f t="shared" si="23"/>
        <v>0</v>
      </c>
      <c r="M185" s="1848">
        <f t="shared" si="21"/>
        <v>0</v>
      </c>
      <c r="N185" s="1848">
        <f t="shared" si="24"/>
        <v>0</v>
      </c>
      <c r="O185" s="1851">
        <f t="shared" si="25"/>
        <v>0</v>
      </c>
      <c r="P185" s="1851">
        <f t="shared" si="26"/>
        <v>0</v>
      </c>
      <c r="Q185" s="1851">
        <f t="shared" si="27"/>
        <v>0</v>
      </c>
      <c r="R185" s="1843" t="s">
        <v>1982</v>
      </c>
    </row>
    <row r="186" spans="1:21">
      <c r="A186" s="1844" t="s">
        <v>1614</v>
      </c>
      <c r="B186" s="1844"/>
      <c r="C186" s="1844"/>
      <c r="D186" s="1844"/>
      <c r="E186" s="1845"/>
      <c r="F186" s="1845"/>
      <c r="G186" s="1846"/>
      <c r="H186" s="1844" t="s">
        <v>1982</v>
      </c>
      <c r="I186" s="1846"/>
      <c r="J186" s="1844" t="s">
        <v>1983</v>
      </c>
      <c r="K186" s="1847">
        <f t="shared" si="22"/>
        <v>0</v>
      </c>
      <c r="L186" s="1848">
        <f t="shared" si="23"/>
        <v>0</v>
      </c>
      <c r="M186" s="1848">
        <f t="shared" si="21"/>
        <v>0</v>
      </c>
      <c r="N186" s="1848">
        <f t="shared" si="24"/>
        <v>0</v>
      </c>
      <c r="O186" s="1851">
        <f t="shared" si="25"/>
        <v>0</v>
      </c>
      <c r="P186" s="1851">
        <f t="shared" si="26"/>
        <v>0</v>
      </c>
      <c r="Q186" s="1851">
        <f t="shared" si="27"/>
        <v>0</v>
      </c>
      <c r="R186" s="1843" t="s">
        <v>1982</v>
      </c>
    </row>
    <row r="187" spans="1:21">
      <c r="A187" s="1844" t="s">
        <v>1614</v>
      </c>
      <c r="B187" s="1844"/>
      <c r="C187" s="1844"/>
      <c r="D187" s="1844"/>
      <c r="E187" s="1845"/>
      <c r="F187" s="1845"/>
      <c r="G187" s="1846"/>
      <c r="H187" s="1844" t="s">
        <v>1982</v>
      </c>
      <c r="I187" s="1846"/>
      <c r="J187" s="1844" t="s">
        <v>1983</v>
      </c>
      <c r="K187" s="1847">
        <f t="shared" si="22"/>
        <v>0</v>
      </c>
      <c r="L187" s="1848">
        <f t="shared" si="23"/>
        <v>0</v>
      </c>
      <c r="M187" s="1848">
        <f t="shared" si="21"/>
        <v>0</v>
      </c>
      <c r="N187" s="1848">
        <f t="shared" si="24"/>
        <v>0</v>
      </c>
      <c r="O187" s="1851">
        <f t="shared" si="25"/>
        <v>0</v>
      </c>
      <c r="P187" s="1851">
        <f t="shared" si="26"/>
        <v>0</v>
      </c>
      <c r="Q187" s="1851">
        <f t="shared" si="27"/>
        <v>0</v>
      </c>
      <c r="R187" s="1843" t="s">
        <v>1982</v>
      </c>
    </row>
    <row r="188" spans="1:21">
      <c r="A188" s="1844" t="s">
        <v>1614</v>
      </c>
      <c r="B188" s="1844"/>
      <c r="C188" s="1844"/>
      <c r="D188" s="1844"/>
      <c r="E188" s="1845"/>
      <c r="F188" s="1845"/>
      <c r="G188" s="1846"/>
      <c r="H188" s="1844" t="s">
        <v>1982</v>
      </c>
      <c r="I188" s="1846"/>
      <c r="J188" s="1844" t="s">
        <v>1983</v>
      </c>
      <c r="K188" s="1847">
        <f t="shared" si="22"/>
        <v>0</v>
      </c>
      <c r="L188" s="1848">
        <f t="shared" si="23"/>
        <v>0</v>
      </c>
      <c r="M188" s="1848">
        <f t="shared" si="21"/>
        <v>0</v>
      </c>
      <c r="N188" s="1848">
        <f t="shared" si="24"/>
        <v>0</v>
      </c>
      <c r="O188" s="1851">
        <f t="shared" si="25"/>
        <v>0</v>
      </c>
      <c r="P188" s="1851">
        <f t="shared" si="26"/>
        <v>0</v>
      </c>
      <c r="Q188" s="1851">
        <f t="shared" si="27"/>
        <v>0</v>
      </c>
      <c r="R188" s="1843" t="s">
        <v>1982</v>
      </c>
    </row>
    <row r="189" spans="1:21">
      <c r="A189" s="1844" t="s">
        <v>1614</v>
      </c>
      <c r="B189" s="1844"/>
      <c r="C189" s="1844"/>
      <c r="D189" s="1844"/>
      <c r="E189" s="1845"/>
      <c r="F189" s="1845"/>
      <c r="G189" s="1846"/>
      <c r="H189" s="1844" t="s">
        <v>1982</v>
      </c>
      <c r="I189" s="1846"/>
      <c r="J189" s="1844" t="s">
        <v>1983</v>
      </c>
      <c r="K189" s="1847">
        <f t="shared" si="22"/>
        <v>0</v>
      </c>
      <c r="L189" s="1848">
        <f t="shared" si="23"/>
        <v>0</v>
      </c>
      <c r="M189" s="1848">
        <f t="shared" si="21"/>
        <v>0</v>
      </c>
      <c r="N189" s="1848">
        <f t="shared" si="24"/>
        <v>0</v>
      </c>
      <c r="O189" s="1851">
        <f t="shared" si="25"/>
        <v>0</v>
      </c>
      <c r="P189" s="1851">
        <f t="shared" si="26"/>
        <v>0</v>
      </c>
      <c r="Q189" s="1851">
        <f t="shared" si="27"/>
        <v>0</v>
      </c>
      <c r="R189" s="1843" t="s">
        <v>1982</v>
      </c>
    </row>
    <row r="190" spans="1:21">
      <c r="A190" s="1844" t="s">
        <v>1614</v>
      </c>
      <c r="B190" s="1844"/>
      <c r="C190" s="1844"/>
      <c r="D190" s="1844"/>
      <c r="E190" s="1845"/>
      <c r="F190" s="1845"/>
      <c r="G190" s="1846"/>
      <c r="H190" s="1844" t="s">
        <v>1982</v>
      </c>
      <c r="I190" s="1846"/>
      <c r="J190" s="1844" t="s">
        <v>1983</v>
      </c>
      <c r="K190" s="1847">
        <f t="shared" si="22"/>
        <v>0</v>
      </c>
      <c r="L190" s="1848">
        <f t="shared" si="23"/>
        <v>0</v>
      </c>
      <c r="M190" s="1848">
        <f t="shared" si="21"/>
        <v>0</v>
      </c>
      <c r="N190" s="1848">
        <f t="shared" si="24"/>
        <v>0</v>
      </c>
      <c r="O190" s="1851">
        <f t="shared" si="25"/>
        <v>0</v>
      </c>
      <c r="P190" s="1851">
        <f t="shared" si="26"/>
        <v>0</v>
      </c>
      <c r="Q190" s="1851">
        <f t="shared" si="27"/>
        <v>0</v>
      </c>
      <c r="R190" s="1843" t="s">
        <v>1982</v>
      </c>
    </row>
    <row r="191" spans="1:21">
      <c r="A191" s="1844" t="s">
        <v>1614</v>
      </c>
      <c r="B191" s="1844"/>
      <c r="C191" s="1844"/>
      <c r="D191" s="1844"/>
      <c r="E191" s="1845"/>
      <c r="F191" s="1845"/>
      <c r="G191" s="1846"/>
      <c r="H191" s="1844" t="s">
        <v>1982</v>
      </c>
      <c r="I191" s="1846"/>
      <c r="J191" s="1844" t="s">
        <v>1983</v>
      </c>
      <c r="K191" s="1847">
        <f t="shared" si="22"/>
        <v>0</v>
      </c>
      <c r="L191" s="1848">
        <f t="shared" si="23"/>
        <v>0</v>
      </c>
      <c r="M191" s="1848">
        <f t="shared" si="21"/>
        <v>0</v>
      </c>
      <c r="N191" s="1848">
        <f t="shared" si="24"/>
        <v>0</v>
      </c>
      <c r="O191" s="1851">
        <f t="shared" si="25"/>
        <v>0</v>
      </c>
      <c r="P191" s="1851">
        <f t="shared" si="26"/>
        <v>0</v>
      </c>
      <c r="Q191" s="1851">
        <f t="shared" si="27"/>
        <v>0</v>
      </c>
      <c r="R191" s="1843" t="s">
        <v>1982</v>
      </c>
    </row>
    <row r="192" spans="1:21">
      <c r="A192" s="1844" t="s">
        <v>1614</v>
      </c>
      <c r="B192" s="1844"/>
      <c r="C192" s="1844"/>
      <c r="D192" s="1844"/>
      <c r="E192" s="1845"/>
      <c r="F192" s="1845"/>
      <c r="G192" s="1846"/>
      <c r="H192" s="1844" t="s">
        <v>1982</v>
      </c>
      <c r="I192" s="1846"/>
      <c r="J192" s="1844" t="s">
        <v>1983</v>
      </c>
      <c r="K192" s="1847">
        <f t="shared" si="22"/>
        <v>0</v>
      </c>
      <c r="L192" s="1848">
        <f t="shared" si="23"/>
        <v>0</v>
      </c>
      <c r="M192" s="1848">
        <f t="shared" si="21"/>
        <v>0</v>
      </c>
      <c r="N192" s="1848">
        <f t="shared" si="24"/>
        <v>0</v>
      </c>
      <c r="O192" s="1851">
        <f t="shared" si="25"/>
        <v>0</v>
      </c>
      <c r="P192" s="1851">
        <f t="shared" si="26"/>
        <v>0</v>
      </c>
      <c r="Q192" s="1851">
        <f t="shared" si="27"/>
        <v>0</v>
      </c>
      <c r="R192" s="1843" t="s">
        <v>1982</v>
      </c>
    </row>
    <row r="193" spans="1:18">
      <c r="A193" s="1844" t="s">
        <v>1614</v>
      </c>
      <c r="B193" s="1844"/>
      <c r="C193" s="1844"/>
      <c r="D193" s="1844"/>
      <c r="E193" s="1845"/>
      <c r="F193" s="1845"/>
      <c r="G193" s="1846"/>
      <c r="H193" s="1844" t="s">
        <v>1982</v>
      </c>
      <c r="I193" s="1846"/>
      <c r="J193" s="1844" t="s">
        <v>1983</v>
      </c>
      <c r="K193" s="1847">
        <f t="shared" si="22"/>
        <v>0</v>
      </c>
      <c r="L193" s="1848">
        <f t="shared" si="23"/>
        <v>0</v>
      </c>
      <c r="M193" s="1848">
        <f t="shared" si="21"/>
        <v>0</v>
      </c>
      <c r="N193" s="1848">
        <f t="shared" si="24"/>
        <v>0</v>
      </c>
      <c r="O193" s="1851">
        <f t="shared" si="25"/>
        <v>0</v>
      </c>
      <c r="P193" s="1851">
        <f t="shared" si="26"/>
        <v>0</v>
      </c>
      <c r="Q193" s="1851">
        <f t="shared" si="27"/>
        <v>0</v>
      </c>
      <c r="R193" s="1843" t="s">
        <v>1982</v>
      </c>
    </row>
    <row r="194" spans="1:18">
      <c r="A194" s="1844" t="s">
        <v>1614</v>
      </c>
      <c r="B194" s="1844"/>
      <c r="C194" s="1844"/>
      <c r="D194" s="1844"/>
      <c r="E194" s="1845"/>
      <c r="F194" s="1845"/>
      <c r="G194" s="1846"/>
      <c r="H194" s="1844" t="s">
        <v>1982</v>
      </c>
      <c r="I194" s="1846"/>
      <c r="J194" s="1844" t="s">
        <v>1983</v>
      </c>
      <c r="K194" s="1847">
        <f t="shared" si="22"/>
        <v>0</v>
      </c>
      <c r="L194" s="1848">
        <f t="shared" si="23"/>
        <v>0</v>
      </c>
      <c r="M194" s="1848">
        <f t="shared" si="21"/>
        <v>0</v>
      </c>
      <c r="N194" s="1848">
        <f t="shared" si="24"/>
        <v>0</v>
      </c>
      <c r="O194" s="1851">
        <f t="shared" si="25"/>
        <v>0</v>
      </c>
      <c r="P194" s="1851">
        <f t="shared" si="26"/>
        <v>0</v>
      </c>
      <c r="Q194" s="1851">
        <f t="shared" si="27"/>
        <v>0</v>
      </c>
      <c r="R194" s="1843" t="s">
        <v>1982</v>
      </c>
    </row>
    <row r="195" spans="1:18">
      <c r="A195" s="1844" t="s">
        <v>1614</v>
      </c>
      <c r="B195" s="1844"/>
      <c r="C195" s="1844"/>
      <c r="D195" s="1844"/>
      <c r="E195" s="1845"/>
      <c r="F195" s="1845"/>
      <c r="G195" s="1846"/>
      <c r="H195" s="1844" t="s">
        <v>1982</v>
      </c>
      <c r="I195" s="1846"/>
      <c r="J195" s="1844" t="s">
        <v>1983</v>
      </c>
      <c r="K195" s="1847">
        <f t="shared" si="22"/>
        <v>0</v>
      </c>
      <c r="L195" s="1848">
        <f t="shared" si="23"/>
        <v>0</v>
      </c>
      <c r="M195" s="1848">
        <f t="shared" ref="M195:M199" si="28">ABS(((0.01*F195+$F$200-(0.01*E195+$E$200))/(0.01*E195+$E$200))*100-(($F$200-$E$200)/$E$200)*100)</f>
        <v>0</v>
      </c>
      <c r="N195" s="1848">
        <f t="shared" si="24"/>
        <v>0</v>
      </c>
      <c r="O195" s="1851">
        <f t="shared" si="25"/>
        <v>0</v>
      </c>
      <c r="P195" s="1851">
        <f t="shared" si="26"/>
        <v>0</v>
      </c>
      <c r="Q195" s="1851">
        <f t="shared" si="27"/>
        <v>0</v>
      </c>
      <c r="R195" s="1843" t="s">
        <v>1982</v>
      </c>
    </row>
    <row r="196" spans="1:18">
      <c r="A196" s="1844" t="s">
        <v>1614</v>
      </c>
      <c r="B196" s="1844"/>
      <c r="C196" s="1844"/>
      <c r="D196" s="1844"/>
      <c r="E196" s="1845"/>
      <c r="F196" s="1845"/>
      <c r="G196" s="1846"/>
      <c r="H196" s="1844" t="s">
        <v>1982</v>
      </c>
      <c r="I196" s="1846"/>
      <c r="J196" s="1844" t="s">
        <v>1983</v>
      </c>
      <c r="K196" s="1847">
        <f t="shared" ref="K196:K198" si="29">SQRT(G196^2+I196^2)</f>
        <v>0</v>
      </c>
      <c r="L196" s="1848">
        <f t="shared" ref="L196:L198" si="30">(K196*F196)^2/F$200^2</f>
        <v>0</v>
      </c>
      <c r="M196" s="1848">
        <f t="shared" si="28"/>
        <v>0</v>
      </c>
      <c r="N196" s="1848">
        <f t="shared" ref="N196:N198" si="31">ABS(F196/$E$200)</f>
        <v>0</v>
      </c>
      <c r="O196" s="1851">
        <f t="shared" ref="O196:O199" si="32">IF(J196="N",N196*I196*SQRT(2),M196*I196)</f>
        <v>0</v>
      </c>
      <c r="P196" s="1851">
        <f t="shared" ref="P196:P199" si="33">IF(H196="Y",M196*G196,N196*G196*SQRT(2))</f>
        <v>0</v>
      </c>
      <c r="Q196" s="1851">
        <f t="shared" ref="Q196:Q198" si="34">O196^2+P196^2</f>
        <v>0</v>
      </c>
      <c r="R196" s="1843" t="s">
        <v>1982</v>
      </c>
    </row>
    <row r="197" spans="1:18">
      <c r="A197" s="1844" t="s">
        <v>1614</v>
      </c>
      <c r="B197" s="1844"/>
      <c r="C197" s="1844"/>
      <c r="D197" s="1844"/>
      <c r="E197" s="1845"/>
      <c r="F197" s="1845"/>
      <c r="G197" s="1846"/>
      <c r="H197" s="1844" t="s">
        <v>1982</v>
      </c>
      <c r="I197" s="1846"/>
      <c r="J197" s="1844" t="s">
        <v>1983</v>
      </c>
      <c r="K197" s="1847">
        <f t="shared" si="29"/>
        <v>0</v>
      </c>
      <c r="L197" s="1848">
        <f t="shared" si="30"/>
        <v>0</v>
      </c>
      <c r="M197" s="1848">
        <f t="shared" si="28"/>
        <v>0</v>
      </c>
      <c r="N197" s="1848">
        <f t="shared" si="31"/>
        <v>0</v>
      </c>
      <c r="O197" s="1851">
        <f t="shared" si="32"/>
        <v>0</v>
      </c>
      <c r="P197" s="1851">
        <f t="shared" si="33"/>
        <v>0</v>
      </c>
      <c r="Q197" s="1851">
        <f t="shared" si="34"/>
        <v>0</v>
      </c>
      <c r="R197" s="1843" t="s">
        <v>1982</v>
      </c>
    </row>
    <row r="198" spans="1:18">
      <c r="A198" s="1844" t="s">
        <v>1614</v>
      </c>
      <c r="B198" s="1844"/>
      <c r="C198" s="1844"/>
      <c r="D198" s="1844"/>
      <c r="E198" s="1845"/>
      <c r="F198" s="1845"/>
      <c r="G198" s="1846"/>
      <c r="H198" s="1844" t="s">
        <v>1982</v>
      </c>
      <c r="I198" s="1846"/>
      <c r="J198" s="1844" t="s">
        <v>1983</v>
      </c>
      <c r="K198" s="1847">
        <f t="shared" si="29"/>
        <v>0</v>
      </c>
      <c r="L198" s="1848">
        <f t="shared" si="30"/>
        <v>0</v>
      </c>
      <c r="M198" s="1848">
        <f t="shared" si="28"/>
        <v>0</v>
      </c>
      <c r="N198" s="1848">
        <f t="shared" si="31"/>
        <v>0</v>
      </c>
      <c r="O198" s="1851">
        <f t="shared" si="32"/>
        <v>0</v>
      </c>
      <c r="P198" s="1851">
        <f t="shared" si="33"/>
        <v>0</v>
      </c>
      <c r="Q198" s="1851">
        <f t="shared" si="34"/>
        <v>0</v>
      </c>
      <c r="R198" s="1843" t="s">
        <v>1982</v>
      </c>
    </row>
    <row r="199" spans="1:18" ht="15" thickBot="1">
      <c r="A199" s="1844" t="s">
        <v>1614</v>
      </c>
      <c r="B199" s="1844"/>
      <c r="C199" s="1844"/>
      <c r="D199" s="1844"/>
      <c r="E199" s="1845"/>
      <c r="F199" s="1845"/>
      <c r="G199" s="1846"/>
      <c r="H199" s="1844" t="s">
        <v>1982</v>
      </c>
      <c r="I199" s="1846"/>
      <c r="J199" s="1844" t="s">
        <v>1983</v>
      </c>
      <c r="K199" s="1847">
        <f>SQRT(G199^2+I199^2)</f>
        <v>0</v>
      </c>
      <c r="L199" s="1848">
        <f>(K199*F199)^2/F$200^2</f>
        <v>0</v>
      </c>
      <c r="M199" s="1848">
        <f t="shared" si="28"/>
        <v>0</v>
      </c>
      <c r="N199" s="1848">
        <f>ABS(F199/$E$200)</f>
        <v>0</v>
      </c>
      <c r="O199" s="1851">
        <f t="shared" si="32"/>
        <v>0</v>
      </c>
      <c r="P199" s="1851">
        <f t="shared" si="33"/>
        <v>0</v>
      </c>
      <c r="Q199" s="1851">
        <f>O199^2+P199^2</f>
        <v>0</v>
      </c>
      <c r="R199" s="1843" t="s">
        <v>1982</v>
      </c>
    </row>
    <row r="200" spans="1:18" ht="15" thickBot="1">
      <c r="A200" s="1853"/>
      <c r="B200" s="1854" t="s">
        <v>46</v>
      </c>
      <c r="C200" s="1855"/>
      <c r="D200" s="1853"/>
      <c r="E200" s="1856">
        <f>SUM(E3:E199)</f>
        <v>12782.563411467507</v>
      </c>
      <c r="F200" s="1856">
        <f>SUM(F3:F199)</f>
        <v>12202.848741962242</v>
      </c>
      <c r="G200" s="1857"/>
      <c r="H200" s="1853"/>
      <c r="I200" s="1857"/>
      <c r="J200" s="1853"/>
      <c r="K200" s="1858">
        <f>SUBTOTAL(9,K3:K199)</f>
        <v>8459.2638868363865</v>
      </c>
      <c r="L200" s="1859">
        <f>SUM(L3:L199)</f>
        <v>374.84708278685855</v>
      </c>
      <c r="M200" s="1860"/>
      <c r="N200" s="1860"/>
      <c r="O200" s="1861"/>
      <c r="P200" s="1861"/>
      <c r="Q200" s="1862">
        <f>SUM(Q3:Q199)</f>
        <v>675.72928709920745</v>
      </c>
      <c r="R200" s="1863"/>
    </row>
    <row r="201" spans="1:18" ht="28.5" customHeight="1" thickBot="1">
      <c r="A201" s="1864"/>
      <c r="B201" s="1865" t="s">
        <v>2119</v>
      </c>
      <c r="C201" s="1864"/>
      <c r="D201" s="1864"/>
      <c r="E201" s="1864"/>
      <c r="F201" s="1864"/>
      <c r="G201" s="1866"/>
      <c r="H201" s="1864"/>
      <c r="I201" s="2857" t="s">
        <v>2120</v>
      </c>
      <c r="J201" s="2858"/>
      <c r="K201" s="2859"/>
      <c r="L201" s="1862">
        <f>SQRT($L$200)</f>
        <v>19.360968022980114</v>
      </c>
      <c r="M201" s="1867"/>
      <c r="N201" s="1867"/>
      <c r="O201" s="1868"/>
      <c r="P201" s="1869" t="s">
        <v>2121</v>
      </c>
      <c r="Q201" s="1870">
        <f>SQRT($Q$200)</f>
        <v>25.994793461368516</v>
      </c>
      <c r="R201" s="1864"/>
    </row>
  </sheetData>
  <autoFilter ref="A2:D201" xr:uid="{00000000-0009-0000-0000-000001000000}"/>
  <mergeCells count="1">
    <mergeCell ref="I201:K201"/>
  </mergeCells>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8490-60E3-4593-9DC5-54FD971487AB}">
  <dimension ref="A1:Q200"/>
  <sheetViews>
    <sheetView zoomScale="60" zoomScaleNormal="60" workbookViewId="0">
      <selection activeCell="E143" sqref="E143"/>
    </sheetView>
  </sheetViews>
  <sheetFormatPr defaultColWidth="8.4140625" defaultRowHeight="14.5"/>
  <cols>
    <col min="1" max="1" width="9.58203125" style="1881" customWidth="1"/>
    <col min="2" max="2" width="12.33203125" style="1881" bestFit="1" customWidth="1"/>
    <col min="3" max="3" width="35.08203125" style="1881" customWidth="1"/>
    <col min="4" max="4" width="8.4140625" style="1881"/>
    <col min="5" max="5" width="10.08203125" style="1881" customWidth="1"/>
    <col min="6" max="6" width="9.58203125" style="1881" customWidth="1"/>
    <col min="7" max="8" width="8.4140625" style="1881"/>
    <col min="9" max="9" width="9.83203125" style="1881" customWidth="1"/>
    <col min="10" max="10" width="9.4140625" style="1881" customWidth="1"/>
    <col min="11" max="12" width="8.4140625" style="1881"/>
    <col min="13" max="13" width="12.1640625" style="1881" customWidth="1"/>
    <col min="14" max="14" width="16.5" style="1900" customWidth="1"/>
    <col min="15" max="15" width="8.4140625" style="1881"/>
    <col min="16" max="16" width="10.33203125" style="1881" customWidth="1"/>
    <col min="17" max="17" width="11.6640625" style="1881" customWidth="1"/>
    <col min="18" max="16384" width="8.4140625" style="1881"/>
  </cols>
  <sheetData>
    <row r="1" spans="1:17" ht="96.75" customHeight="1">
      <c r="A1" s="2862" t="s">
        <v>1958</v>
      </c>
      <c r="B1" s="2861" t="s">
        <v>1959</v>
      </c>
      <c r="C1" s="2864" t="s">
        <v>1960</v>
      </c>
      <c r="D1" s="2864" t="s">
        <v>1961</v>
      </c>
      <c r="E1" s="1879" t="s">
        <v>2123</v>
      </c>
      <c r="F1" s="1877" t="s">
        <v>2124</v>
      </c>
      <c r="G1" s="2860" t="s">
        <v>1964</v>
      </c>
      <c r="H1" s="2861"/>
      <c r="I1" s="2860" t="s">
        <v>2125</v>
      </c>
      <c r="J1" s="2861"/>
      <c r="K1" s="2860" t="s">
        <v>1968</v>
      </c>
      <c r="L1" s="2861"/>
      <c r="M1" s="1878" t="s">
        <v>2126</v>
      </c>
      <c r="N1" s="1879" t="s">
        <v>2127</v>
      </c>
      <c r="O1" s="2860" t="s">
        <v>2128</v>
      </c>
      <c r="P1" s="2861"/>
      <c r="Q1" s="1880" t="s">
        <v>2129</v>
      </c>
    </row>
    <row r="2" spans="1:17" ht="38.25" customHeight="1">
      <c r="A2" s="2862"/>
      <c r="B2" s="2863"/>
      <c r="C2" s="2865"/>
      <c r="D2" s="2866"/>
      <c r="E2" s="1883" t="s">
        <v>2130</v>
      </c>
      <c r="F2" s="1884" t="s">
        <v>2130</v>
      </c>
      <c r="G2" s="1885" t="s">
        <v>2131</v>
      </c>
      <c r="H2" s="1886" t="s">
        <v>2132</v>
      </c>
      <c r="I2" s="1885" t="s">
        <v>2131</v>
      </c>
      <c r="J2" s="1886" t="s">
        <v>2132</v>
      </c>
      <c r="K2" s="1885" t="s">
        <v>2131</v>
      </c>
      <c r="L2" s="1886" t="s">
        <v>2132</v>
      </c>
      <c r="M2" s="1885" t="s">
        <v>2133</v>
      </c>
      <c r="N2" s="1887" t="s">
        <v>2134</v>
      </c>
      <c r="O2" s="1885" t="s">
        <v>2131</v>
      </c>
      <c r="P2" s="1888" t="s">
        <v>2132</v>
      </c>
      <c r="Q2" s="1882" t="s">
        <v>2135</v>
      </c>
    </row>
    <row r="3" spans="1:17">
      <c r="A3" s="1889" t="s">
        <v>1978</v>
      </c>
      <c r="B3" s="1889" t="s">
        <v>1979</v>
      </c>
      <c r="C3" s="1890" t="s">
        <v>1980</v>
      </c>
      <c r="D3" s="1890" t="s">
        <v>2412</v>
      </c>
      <c r="E3" s="1891">
        <f>'Calculation (table 3.2)'!E3</f>
        <v>0</v>
      </c>
      <c r="F3" s="1891">
        <f>'Calculation (table 3.2)'!F3</f>
        <v>0</v>
      </c>
      <c r="G3" s="1891">
        <f>'Calculation (table 3.2)'!G3</f>
        <v>3</v>
      </c>
      <c r="H3" s="1891">
        <f>G3</f>
        <v>3</v>
      </c>
      <c r="I3" s="1891">
        <f>'Calculation (table 3.2)'!I3</f>
        <v>2.5</v>
      </c>
      <c r="J3" s="1892">
        <f>I3</f>
        <v>2.5</v>
      </c>
      <c r="K3" s="1892">
        <f>'Calculation (table 3.2)'!K3</f>
        <v>3.905124837953327</v>
      </c>
      <c r="L3" s="1892">
        <f>K3</f>
        <v>3.905124837953327</v>
      </c>
      <c r="M3" s="1893">
        <f>'Calculation (table 3.2)'!L3</f>
        <v>0</v>
      </c>
      <c r="N3" s="1894" t="str">
        <f>IF(E3=0,"NA",100*(F3-E3)/E3)</f>
        <v>NA</v>
      </c>
      <c r="O3" s="1892">
        <f>SQRT('Calculation (table 3.2)'!Q3)</f>
        <v>0</v>
      </c>
      <c r="P3" s="1892">
        <f>O3</f>
        <v>0</v>
      </c>
      <c r="Q3" s="1890"/>
    </row>
    <row r="4" spans="1:17">
      <c r="A4" s="1889" t="s">
        <v>1978</v>
      </c>
      <c r="B4" s="1889" t="s">
        <v>1979</v>
      </c>
      <c r="C4" s="1890" t="s">
        <v>1980</v>
      </c>
      <c r="D4" s="1890" t="s">
        <v>84</v>
      </c>
      <c r="E4" s="1891">
        <f>'Calculation (table 3.2)'!E4</f>
        <v>0</v>
      </c>
      <c r="F4" s="1891">
        <f>'Calculation (table 3.2)'!F4</f>
        <v>0</v>
      </c>
      <c r="G4" s="1891">
        <f>'Calculation (table 3.2)'!G4</f>
        <v>3</v>
      </c>
      <c r="H4" s="1891">
        <f t="shared" ref="H4:H67" si="0">G4</f>
        <v>3</v>
      </c>
      <c r="I4" s="1891">
        <f>'Calculation (table 3.2)'!I4</f>
        <v>35</v>
      </c>
      <c r="J4" s="1892">
        <f t="shared" ref="J4:J67" si="1">I4</f>
        <v>35</v>
      </c>
      <c r="K4" s="1892">
        <f>'Calculation (table 3.2)'!K4</f>
        <v>35.128336140500593</v>
      </c>
      <c r="L4" s="1892">
        <f t="shared" ref="L4:L67" si="2">K4</f>
        <v>35.128336140500593</v>
      </c>
      <c r="M4" s="1893">
        <f>'Calculation (table 3.2)'!L4</f>
        <v>0</v>
      </c>
      <c r="N4" s="1894" t="str">
        <f t="shared" ref="N4:N67" si="3">IF(E4=0,"NA",100*(F4-E4)/E4)</f>
        <v>NA</v>
      </c>
      <c r="O4" s="1892">
        <v>2.8904895811515555E-4</v>
      </c>
      <c r="P4" s="1892">
        <f t="shared" ref="P4:P67" si="4">O4</f>
        <v>2.8904895811515555E-4</v>
      </c>
      <c r="Q4" s="1890"/>
    </row>
    <row r="5" spans="1:17">
      <c r="A5" s="1889" t="s">
        <v>1978</v>
      </c>
      <c r="B5" s="1889" t="s">
        <v>1979</v>
      </c>
      <c r="C5" s="1890" t="s">
        <v>1980</v>
      </c>
      <c r="D5" s="1890" t="s">
        <v>85</v>
      </c>
      <c r="E5" s="1891">
        <f>'Calculation (table 3.2)'!E5</f>
        <v>0</v>
      </c>
      <c r="F5" s="1891">
        <f>'Calculation (table 3.2)'!F5</f>
        <v>0</v>
      </c>
      <c r="G5" s="1891">
        <f>'Calculation (table 3.2)'!G5</f>
        <v>3</v>
      </c>
      <c r="H5" s="1891">
        <f t="shared" si="0"/>
        <v>3</v>
      </c>
      <c r="I5" s="1891">
        <f>'Calculation (table 3.2)'!I5</f>
        <v>40</v>
      </c>
      <c r="J5" s="1892">
        <f t="shared" si="1"/>
        <v>40</v>
      </c>
      <c r="K5" s="1892">
        <f>'Calculation (table 3.2)'!K5</f>
        <v>40.11234224026316</v>
      </c>
      <c r="L5" s="1892">
        <f t="shared" si="2"/>
        <v>40.11234224026316</v>
      </c>
      <c r="M5" s="1893">
        <f>'Calculation (table 3.2)'!L5</f>
        <v>0</v>
      </c>
      <c r="N5" s="1894" t="str">
        <f t="shared" si="3"/>
        <v>NA</v>
      </c>
      <c r="O5" s="1892">
        <v>7.2683848374233148E-3</v>
      </c>
      <c r="P5" s="1892">
        <f t="shared" si="4"/>
        <v>7.2683848374233148E-3</v>
      </c>
      <c r="Q5" s="1890"/>
    </row>
    <row r="6" spans="1:17">
      <c r="A6" s="1889" t="s">
        <v>1978</v>
      </c>
      <c r="B6" s="1889" t="s">
        <v>1979</v>
      </c>
      <c r="C6" s="1890" t="s">
        <v>1986</v>
      </c>
      <c r="D6" s="1890" t="s">
        <v>2412</v>
      </c>
      <c r="E6" s="1891">
        <f>'Calculation (table 3.2)'!E6</f>
        <v>0</v>
      </c>
      <c r="F6" s="1891">
        <f>'Calculation (table 3.2)'!F6</f>
        <v>0</v>
      </c>
      <c r="G6" s="1891">
        <f>'Calculation (table 3.2)'!G6</f>
        <v>0.9</v>
      </c>
      <c r="H6" s="1891">
        <f t="shared" si="0"/>
        <v>0.9</v>
      </c>
      <c r="I6" s="1891">
        <f>'Calculation (table 3.2)'!I6</f>
        <v>1.3</v>
      </c>
      <c r="J6" s="1892">
        <f t="shared" si="1"/>
        <v>1.3</v>
      </c>
      <c r="K6" s="1892">
        <f>'Calculation (table 3.2)'!K6</f>
        <v>1.5811388300841898</v>
      </c>
      <c r="L6" s="1892">
        <f t="shared" si="2"/>
        <v>1.5811388300841898</v>
      </c>
      <c r="M6" s="1893">
        <f>'Calculation (table 3.2)'!L6</f>
        <v>0</v>
      </c>
      <c r="N6" s="1894" t="str">
        <f t="shared" si="3"/>
        <v>NA</v>
      </c>
      <c r="O6" s="1892">
        <v>0.34940615767507699</v>
      </c>
      <c r="P6" s="1892">
        <f t="shared" si="4"/>
        <v>0.34940615767507699</v>
      </c>
      <c r="Q6" s="1890"/>
    </row>
    <row r="7" spans="1:17">
      <c r="A7" s="1889" t="s">
        <v>1978</v>
      </c>
      <c r="B7" s="1889" t="s">
        <v>1979</v>
      </c>
      <c r="C7" s="1890" t="s">
        <v>1986</v>
      </c>
      <c r="D7" s="1890" t="s">
        <v>84</v>
      </c>
      <c r="E7" s="1891">
        <f>'Calculation (table 3.2)'!E7</f>
        <v>0</v>
      </c>
      <c r="F7" s="1891">
        <f>'Calculation (table 3.2)'!F7</f>
        <v>0</v>
      </c>
      <c r="G7" s="1891">
        <f>'Calculation (table 3.2)'!G7</f>
        <v>0.9</v>
      </c>
      <c r="H7" s="1891">
        <f t="shared" si="0"/>
        <v>0.9</v>
      </c>
      <c r="I7" s="1891">
        <f>'Calculation (table 3.2)'!I7</f>
        <v>50</v>
      </c>
      <c r="J7" s="1892">
        <f t="shared" si="1"/>
        <v>50</v>
      </c>
      <c r="K7" s="1892">
        <f>'Calculation (table 3.2)'!K7</f>
        <v>50.008099344006268</v>
      </c>
      <c r="L7" s="1892">
        <f t="shared" si="2"/>
        <v>50.008099344006268</v>
      </c>
      <c r="M7" s="1893">
        <f>'Calculation (table 3.2)'!L7</f>
        <v>0</v>
      </c>
      <c r="N7" s="1894" t="str">
        <f t="shared" si="3"/>
        <v>NA</v>
      </c>
      <c r="O7" s="1892">
        <v>6.8692049229284163E-4</v>
      </c>
      <c r="P7" s="1892">
        <f t="shared" si="4"/>
        <v>6.8692049229284163E-4</v>
      </c>
      <c r="Q7" s="1890"/>
    </row>
    <row r="8" spans="1:17">
      <c r="A8" s="1889" t="s">
        <v>1978</v>
      </c>
      <c r="B8" s="1889" t="s">
        <v>1979</v>
      </c>
      <c r="C8" s="1890" t="s">
        <v>1986</v>
      </c>
      <c r="D8" s="1890" t="s">
        <v>85</v>
      </c>
      <c r="E8" s="1891">
        <f>'Calculation (table 3.2)'!E8</f>
        <v>0</v>
      </c>
      <c r="F8" s="1891">
        <f>'Calculation (table 3.2)'!F8</f>
        <v>0</v>
      </c>
      <c r="G8" s="1891">
        <f>'Calculation (table 3.2)'!G8</f>
        <v>0.9</v>
      </c>
      <c r="H8" s="1891">
        <f t="shared" si="0"/>
        <v>0.9</v>
      </c>
      <c r="I8" s="1891">
        <f>'Calculation (table 3.2)'!I8</f>
        <v>55</v>
      </c>
      <c r="J8" s="1892">
        <f t="shared" si="1"/>
        <v>55</v>
      </c>
      <c r="K8" s="1892">
        <f>'Calculation (table 3.2)'!K8</f>
        <v>55.007363143491979</v>
      </c>
      <c r="L8" s="1892">
        <f t="shared" si="2"/>
        <v>55.007363143491979</v>
      </c>
      <c r="M8" s="1893">
        <f>'Calculation (table 3.2)'!L8</f>
        <v>0</v>
      </c>
      <c r="N8" s="1894" t="str">
        <f t="shared" si="3"/>
        <v>NA</v>
      </c>
      <c r="O8" s="1892">
        <v>2.1513055766325135E-2</v>
      </c>
      <c r="P8" s="1892">
        <f t="shared" si="4"/>
        <v>2.1513055766325135E-2</v>
      </c>
      <c r="Q8" s="1890"/>
    </row>
    <row r="9" spans="1:17">
      <c r="A9" s="1889" t="s">
        <v>1978</v>
      </c>
      <c r="B9" s="1889" t="s">
        <v>1979</v>
      </c>
      <c r="C9" s="1890" t="s">
        <v>1988</v>
      </c>
      <c r="D9" s="1890" t="s">
        <v>2412</v>
      </c>
      <c r="E9" s="1891">
        <f>'Calculation (table 3.2)'!E9</f>
        <v>0</v>
      </c>
      <c r="F9" s="1891">
        <f>'Calculation (table 3.2)'!F9</f>
        <v>0</v>
      </c>
      <c r="G9" s="1891">
        <f>'Calculation (table 3.2)'!G9</f>
        <v>0.9</v>
      </c>
      <c r="H9" s="1891">
        <f t="shared" si="0"/>
        <v>0.9</v>
      </c>
      <c r="I9" s="1891">
        <f>'Calculation (table 3.2)'!I9</f>
        <v>0.5</v>
      </c>
      <c r="J9" s="1892">
        <f t="shared" si="1"/>
        <v>0.5</v>
      </c>
      <c r="K9" s="1892">
        <f>'Calculation (table 3.2)'!K9</f>
        <v>1.0295630140987</v>
      </c>
      <c r="L9" s="1892">
        <f t="shared" si="2"/>
        <v>1.0295630140987</v>
      </c>
      <c r="M9" s="1893">
        <f>'Calculation (table 3.2)'!L9</f>
        <v>0</v>
      </c>
      <c r="N9" s="1894" t="str">
        <f t="shared" si="3"/>
        <v>NA</v>
      </c>
      <c r="O9" s="1892">
        <v>5.1981409237724326E-2</v>
      </c>
      <c r="P9" s="1892">
        <f t="shared" si="4"/>
        <v>5.1981409237724326E-2</v>
      </c>
      <c r="Q9" s="1890"/>
    </row>
    <row r="10" spans="1:17">
      <c r="A10" s="1889" t="s">
        <v>1978</v>
      </c>
      <c r="B10" s="1889" t="s">
        <v>1979</v>
      </c>
      <c r="C10" s="1890" t="s">
        <v>1988</v>
      </c>
      <c r="D10" s="1890" t="s">
        <v>84</v>
      </c>
      <c r="E10" s="1891">
        <f>'Calculation (table 3.2)'!E10</f>
        <v>0</v>
      </c>
      <c r="F10" s="1891">
        <f>'Calculation (table 3.2)'!F10</f>
        <v>0</v>
      </c>
      <c r="G10" s="1891">
        <f>'Calculation (table 3.2)'!G10</f>
        <v>0.9</v>
      </c>
      <c r="H10" s="1891">
        <f t="shared" si="0"/>
        <v>0.9</v>
      </c>
      <c r="I10" s="1891">
        <f>'Calculation (table 3.2)'!I10</f>
        <v>55</v>
      </c>
      <c r="J10" s="1892">
        <f t="shared" si="1"/>
        <v>55</v>
      </c>
      <c r="K10" s="1892">
        <f>'Calculation (table 3.2)'!K10</f>
        <v>55.007363143491979</v>
      </c>
      <c r="L10" s="1892">
        <f t="shared" si="2"/>
        <v>55.007363143491979</v>
      </c>
      <c r="M10" s="1893">
        <f>'Calculation (table 3.2)'!L10</f>
        <v>0</v>
      </c>
      <c r="N10" s="1894" t="str">
        <f t="shared" si="3"/>
        <v>NA</v>
      </c>
      <c r="O10" s="1892">
        <v>4.3482385993824679E-4</v>
      </c>
      <c r="P10" s="1892">
        <f t="shared" si="4"/>
        <v>4.3482385993824679E-4</v>
      </c>
      <c r="Q10" s="1890"/>
    </row>
    <row r="11" spans="1:17">
      <c r="A11" s="1889" t="s">
        <v>1978</v>
      </c>
      <c r="B11" s="1889" t="s">
        <v>1979</v>
      </c>
      <c r="C11" s="1890" t="s">
        <v>1988</v>
      </c>
      <c r="D11" s="1890" t="s">
        <v>85</v>
      </c>
      <c r="E11" s="1891">
        <f>'Calculation (table 3.2)'!E11</f>
        <v>0</v>
      </c>
      <c r="F11" s="1891">
        <f>'Calculation (table 3.2)'!F11</f>
        <v>0</v>
      </c>
      <c r="G11" s="1891">
        <f>'Calculation (table 3.2)'!G11</f>
        <v>0.9</v>
      </c>
      <c r="H11" s="1891">
        <f t="shared" si="0"/>
        <v>0.9</v>
      </c>
      <c r="I11" s="1891">
        <f>'Calculation (table 3.2)'!I11</f>
        <v>50</v>
      </c>
      <c r="J11" s="1892">
        <f t="shared" si="1"/>
        <v>50</v>
      </c>
      <c r="K11" s="1892">
        <f>'Calculation (table 3.2)'!K11</f>
        <v>50.008099344006268</v>
      </c>
      <c r="L11" s="1892">
        <f t="shared" si="2"/>
        <v>50.008099344006268</v>
      </c>
      <c r="M11" s="1893">
        <f>'Calculation (table 3.2)'!L11</f>
        <v>0</v>
      </c>
      <c r="N11" s="1894" t="str">
        <f t="shared" si="3"/>
        <v>NA</v>
      </c>
      <c r="O11" s="1892">
        <v>5.0062265463480353E-3</v>
      </c>
      <c r="P11" s="1892">
        <f t="shared" si="4"/>
        <v>5.0062265463480353E-3</v>
      </c>
      <c r="Q11" s="1890"/>
    </row>
    <row r="12" spans="1:17">
      <c r="A12" s="1889" t="s">
        <v>1978</v>
      </c>
      <c r="B12" s="1889" t="s">
        <v>1979</v>
      </c>
      <c r="C12" s="1890" t="s">
        <v>1989</v>
      </c>
      <c r="D12" s="1890" t="s">
        <v>2412</v>
      </c>
      <c r="E12" s="1891">
        <f>'Calculation (table 3.2)'!E12</f>
        <v>0</v>
      </c>
      <c r="F12" s="1891">
        <f>'Calculation (table 3.2)'!F12</f>
        <v>0</v>
      </c>
      <c r="G12" s="1891">
        <f>'Calculation (table 3.2)'!G12</f>
        <v>10</v>
      </c>
      <c r="H12" s="1891">
        <f t="shared" si="0"/>
        <v>10</v>
      </c>
      <c r="I12" s="1891">
        <f>'Calculation (table 3.2)'!I12</f>
        <v>15</v>
      </c>
      <c r="J12" s="1892">
        <f t="shared" si="1"/>
        <v>15</v>
      </c>
      <c r="K12" s="1892">
        <f>'Calculation (table 3.2)'!K12</f>
        <v>18.027756377319946</v>
      </c>
      <c r="L12" s="1892">
        <f t="shared" si="2"/>
        <v>18.027756377319946</v>
      </c>
      <c r="M12" s="1893">
        <f>'Calculation (table 3.2)'!L12</f>
        <v>0</v>
      </c>
      <c r="N12" s="1894" t="str">
        <f t="shared" si="3"/>
        <v>NA</v>
      </c>
      <c r="O12" s="1892">
        <v>0.22569721117969047</v>
      </c>
      <c r="P12" s="1892">
        <f t="shared" si="4"/>
        <v>0.22569721117969047</v>
      </c>
      <c r="Q12" s="1890"/>
    </row>
    <row r="13" spans="1:17">
      <c r="A13" s="1889" t="s">
        <v>1978</v>
      </c>
      <c r="B13" s="1889" t="s">
        <v>1979</v>
      </c>
      <c r="C13" s="1890" t="s">
        <v>1989</v>
      </c>
      <c r="D13" s="1890" t="s">
        <v>84</v>
      </c>
      <c r="E13" s="1891">
        <f>'Calculation (table 3.2)'!E13</f>
        <v>0</v>
      </c>
      <c r="F13" s="1891">
        <f>'Calculation (table 3.2)'!F13</f>
        <v>0</v>
      </c>
      <c r="G13" s="1891">
        <f>'Calculation (table 3.2)'!G13</f>
        <v>9</v>
      </c>
      <c r="H13" s="1891">
        <f t="shared" si="0"/>
        <v>9</v>
      </c>
      <c r="I13" s="1891">
        <f>'Calculation (table 3.2)'!I13</f>
        <v>60</v>
      </c>
      <c r="J13" s="1892">
        <f t="shared" si="1"/>
        <v>60</v>
      </c>
      <c r="K13" s="1892">
        <f>'Calculation (table 3.2)'!K13</f>
        <v>60.671245248470051</v>
      </c>
      <c r="L13" s="1892">
        <f t="shared" si="2"/>
        <v>60.671245248470051</v>
      </c>
      <c r="M13" s="1893">
        <f>'Calculation (table 3.2)'!L13</f>
        <v>0</v>
      </c>
      <c r="N13" s="1894" t="str">
        <f t="shared" si="3"/>
        <v>NA</v>
      </c>
      <c r="O13" s="1892">
        <v>7.0843923763120285E-4</v>
      </c>
      <c r="P13" s="1892">
        <f t="shared" si="4"/>
        <v>7.0843923763120285E-4</v>
      </c>
      <c r="Q13" s="1890"/>
    </row>
    <row r="14" spans="1:17">
      <c r="A14" s="1889" t="s">
        <v>1978</v>
      </c>
      <c r="B14" s="1889" t="s">
        <v>1979</v>
      </c>
      <c r="C14" s="1890" t="s">
        <v>1989</v>
      </c>
      <c r="D14" s="1890" t="s">
        <v>85</v>
      </c>
      <c r="E14" s="1891">
        <f>'Calculation (table 3.2)'!E14</f>
        <v>0</v>
      </c>
      <c r="F14" s="1891">
        <f>'Calculation (table 3.2)'!F14</f>
        <v>0</v>
      </c>
      <c r="G14" s="1891">
        <f>'Calculation (table 3.2)'!G14</f>
        <v>9</v>
      </c>
      <c r="H14" s="1891">
        <f t="shared" si="0"/>
        <v>9</v>
      </c>
      <c r="I14" s="1891">
        <f>'Calculation (table 3.2)'!I14</f>
        <v>55</v>
      </c>
      <c r="J14" s="1892">
        <f t="shared" si="1"/>
        <v>55</v>
      </c>
      <c r="K14" s="1892">
        <f>'Calculation (table 3.2)'!K14</f>
        <v>55.731499172371095</v>
      </c>
      <c r="L14" s="1892">
        <f t="shared" si="2"/>
        <v>55.731499172371095</v>
      </c>
      <c r="M14" s="1893">
        <f>'Calculation (table 3.2)'!L14</f>
        <v>0</v>
      </c>
      <c r="N14" s="1894" t="str">
        <f t="shared" si="3"/>
        <v>NA</v>
      </c>
      <c r="O14" s="1892">
        <v>6.3141425650264189E-3</v>
      </c>
      <c r="P14" s="1892">
        <f t="shared" si="4"/>
        <v>6.3141425650264189E-3</v>
      </c>
      <c r="Q14" s="1890"/>
    </row>
    <row r="15" spans="1:17">
      <c r="A15" s="1889" t="s">
        <v>1978</v>
      </c>
      <c r="B15" s="1889" t="s">
        <v>1979</v>
      </c>
      <c r="C15" s="1890" t="s">
        <v>1990</v>
      </c>
      <c r="D15" s="1890" t="s">
        <v>2412</v>
      </c>
      <c r="E15" s="1891">
        <f>'Calculation (table 3.2)'!E15</f>
        <v>0</v>
      </c>
      <c r="F15" s="1891">
        <f>'Calculation (table 3.2)'!F15</f>
        <v>0</v>
      </c>
      <c r="G15" s="1891">
        <f>'Calculation (table 3.2)'!G15</f>
        <v>2</v>
      </c>
      <c r="H15" s="1891">
        <f t="shared" si="0"/>
        <v>2</v>
      </c>
      <c r="I15" s="1891">
        <f>'Calculation (table 3.2)'!I15</f>
        <v>2</v>
      </c>
      <c r="J15" s="1892">
        <f t="shared" si="1"/>
        <v>2</v>
      </c>
      <c r="K15" s="1892">
        <f>'Calculation (table 3.2)'!K15</f>
        <v>2.8284271247461903</v>
      </c>
      <c r="L15" s="1892">
        <f t="shared" si="2"/>
        <v>2.8284271247461903</v>
      </c>
      <c r="M15" s="1893">
        <f>'Calculation (table 3.2)'!L15</f>
        <v>0</v>
      </c>
      <c r="N15" s="1894" t="str">
        <f t="shared" si="3"/>
        <v>NA</v>
      </c>
      <c r="O15" s="1892">
        <v>0.33496289966161658</v>
      </c>
      <c r="P15" s="1892">
        <f t="shared" si="4"/>
        <v>0.33496289966161658</v>
      </c>
      <c r="Q15" s="1890"/>
    </row>
    <row r="16" spans="1:17">
      <c r="A16" s="1889" t="s">
        <v>1978</v>
      </c>
      <c r="B16" s="1889" t="s">
        <v>1979</v>
      </c>
      <c r="C16" s="1890" t="s">
        <v>1990</v>
      </c>
      <c r="D16" s="1890" t="s">
        <v>84</v>
      </c>
      <c r="E16" s="1891">
        <f>'Calculation (table 3.2)'!E16</f>
        <v>0</v>
      </c>
      <c r="F16" s="1891">
        <f>'Calculation (table 3.2)'!F16</f>
        <v>0</v>
      </c>
      <c r="G16" s="1891">
        <f>'Calculation (table 3.2)'!G16</f>
        <v>2</v>
      </c>
      <c r="H16" s="1891">
        <f t="shared" si="0"/>
        <v>2</v>
      </c>
      <c r="I16" s="1891">
        <f>'Calculation (table 3.2)'!I16</f>
        <v>60</v>
      </c>
      <c r="J16" s="1892">
        <f t="shared" si="1"/>
        <v>60</v>
      </c>
      <c r="K16" s="1892">
        <f>'Calculation (table 3.2)'!K16</f>
        <v>60.033324079214538</v>
      </c>
      <c r="L16" s="1892">
        <f t="shared" si="2"/>
        <v>60.033324079214538</v>
      </c>
      <c r="M16" s="1893">
        <f>'Calculation (table 3.2)'!L16</f>
        <v>0</v>
      </c>
      <c r="N16" s="1894" t="str">
        <f t="shared" si="3"/>
        <v>NA</v>
      </c>
      <c r="O16" s="1892">
        <v>4.7429090469091892E-3</v>
      </c>
      <c r="P16" s="1892">
        <f t="shared" si="4"/>
        <v>4.7429090469091892E-3</v>
      </c>
      <c r="Q16" s="1890"/>
    </row>
    <row r="17" spans="1:17">
      <c r="A17" s="1889" t="s">
        <v>1978</v>
      </c>
      <c r="B17" s="1889" t="s">
        <v>1979</v>
      </c>
      <c r="C17" s="1890" t="s">
        <v>1990</v>
      </c>
      <c r="D17" s="1890" t="s">
        <v>85</v>
      </c>
      <c r="E17" s="1891">
        <f>'Calculation (table 3.2)'!E17</f>
        <v>0</v>
      </c>
      <c r="F17" s="1891">
        <f>'Calculation (table 3.2)'!F17</f>
        <v>0</v>
      </c>
      <c r="G17" s="1891">
        <f>'Calculation (table 3.2)'!G17</f>
        <v>2</v>
      </c>
      <c r="H17" s="1891">
        <f t="shared" si="0"/>
        <v>2</v>
      </c>
      <c r="I17" s="1891">
        <f>'Calculation (table 3.2)'!I17</f>
        <v>60</v>
      </c>
      <c r="J17" s="1892">
        <f t="shared" si="1"/>
        <v>60</v>
      </c>
      <c r="K17" s="1892">
        <f>'Calculation (table 3.2)'!K17</f>
        <v>60.033324079214538</v>
      </c>
      <c r="L17" s="1892">
        <f t="shared" si="2"/>
        <v>60.033324079214538</v>
      </c>
      <c r="M17" s="1893">
        <f>'Calculation (table 3.2)'!L17</f>
        <v>0</v>
      </c>
      <c r="N17" s="1894" t="str">
        <f t="shared" si="3"/>
        <v>NA</v>
      </c>
      <c r="O17" s="1892">
        <v>4.5522404960176205E-2</v>
      </c>
      <c r="P17" s="1892">
        <f t="shared" si="4"/>
        <v>4.5522404960176205E-2</v>
      </c>
      <c r="Q17" s="1890"/>
    </row>
    <row r="18" spans="1:17">
      <c r="A18" s="1889" t="s">
        <v>1978</v>
      </c>
      <c r="B18" s="1889" t="s">
        <v>1979</v>
      </c>
      <c r="C18" s="1890" t="s">
        <v>1991</v>
      </c>
      <c r="D18" s="1890" t="s">
        <v>84</v>
      </c>
      <c r="E18" s="1891">
        <f>'Calculation (table 3.2)'!E18</f>
        <v>0</v>
      </c>
      <c r="F18" s="1891">
        <f>'Calculation (table 3.2)'!F18</f>
        <v>0</v>
      </c>
      <c r="G18" s="1891">
        <f>'Calculation (table 3.2)'!G18</f>
        <v>4.5</v>
      </c>
      <c r="H18" s="1891">
        <f t="shared" si="0"/>
        <v>4.5</v>
      </c>
      <c r="I18" s="1891">
        <f>'Calculation (table 3.2)'!I18</f>
        <v>55</v>
      </c>
      <c r="J18" s="1892">
        <f t="shared" si="1"/>
        <v>55</v>
      </c>
      <c r="K18" s="1892">
        <f>'Calculation (table 3.2)'!K18</f>
        <v>55.183783849968101</v>
      </c>
      <c r="L18" s="1892">
        <f t="shared" si="2"/>
        <v>55.183783849968101</v>
      </c>
      <c r="M18" s="1893">
        <f>'Calculation (table 3.2)'!L18</f>
        <v>0</v>
      </c>
      <c r="N18" s="1894" t="str">
        <f t="shared" si="3"/>
        <v>NA</v>
      </c>
      <c r="O18" s="1892">
        <v>1.482245924478205E-2</v>
      </c>
      <c r="P18" s="1892">
        <f t="shared" si="4"/>
        <v>1.482245924478205E-2</v>
      </c>
      <c r="Q18" s="1890"/>
    </row>
    <row r="19" spans="1:17">
      <c r="A19" s="1889" t="s">
        <v>1978</v>
      </c>
      <c r="B19" s="1889" t="s">
        <v>1979</v>
      </c>
      <c r="C19" s="1890" t="s">
        <v>1991</v>
      </c>
      <c r="D19" s="1890" t="s">
        <v>85</v>
      </c>
      <c r="E19" s="1891">
        <f>'Calculation (table 3.2)'!E19</f>
        <v>0</v>
      </c>
      <c r="F19" s="1891">
        <f>'Calculation (table 3.2)'!F19</f>
        <v>0</v>
      </c>
      <c r="G19" s="1891">
        <f>'Calculation (table 3.2)'!G19</f>
        <v>4.5</v>
      </c>
      <c r="H19" s="1891">
        <f t="shared" si="0"/>
        <v>4.5</v>
      </c>
      <c r="I19" s="1891">
        <f>'Calculation (table 3.2)'!I19</f>
        <v>55</v>
      </c>
      <c r="J19" s="1892">
        <f t="shared" si="1"/>
        <v>55</v>
      </c>
      <c r="K19" s="1892">
        <f>'Calculation (table 3.2)'!K19</f>
        <v>55.183783849968101</v>
      </c>
      <c r="L19" s="1892">
        <f t="shared" si="2"/>
        <v>55.183783849968101</v>
      </c>
      <c r="M19" s="1893">
        <f>'Calculation (table 3.2)'!L19</f>
        <v>0</v>
      </c>
      <c r="N19" s="1894" t="str">
        <f t="shared" si="3"/>
        <v>NA</v>
      </c>
      <c r="O19" s="1892">
        <v>0.10798357746692898</v>
      </c>
      <c r="P19" s="1892">
        <f t="shared" si="4"/>
        <v>0.10798357746692898</v>
      </c>
      <c r="Q19" s="1890"/>
    </row>
    <row r="20" spans="1:17">
      <c r="A20" s="1889" t="s">
        <v>1978</v>
      </c>
      <c r="B20" s="1889" t="s">
        <v>1992</v>
      </c>
      <c r="C20" s="1890" t="s">
        <v>1993</v>
      </c>
      <c r="D20" s="1890" t="s">
        <v>2412</v>
      </c>
      <c r="E20" s="1891">
        <f>'Calculation (table 3.2)'!E20</f>
        <v>0</v>
      </c>
      <c r="F20" s="1891">
        <f>'Calculation (table 3.2)'!F20</f>
        <v>0</v>
      </c>
      <c r="G20" s="1891">
        <f>'Calculation (table 3.2)'!G20</f>
        <v>2</v>
      </c>
      <c r="H20" s="1891">
        <f t="shared" si="0"/>
        <v>2</v>
      </c>
      <c r="I20" s="1891">
        <f>'Calculation (table 3.2)'!I20</f>
        <v>1.2</v>
      </c>
      <c r="J20" s="1892">
        <f t="shared" si="1"/>
        <v>1.2</v>
      </c>
      <c r="K20" s="1892">
        <f>'Calculation (table 3.2)'!K20</f>
        <v>2.3323807579381199</v>
      </c>
      <c r="L20" s="1892">
        <f t="shared" si="2"/>
        <v>2.3323807579381199</v>
      </c>
      <c r="M20" s="1893">
        <f>'Calculation (table 3.2)'!L20</f>
        <v>0</v>
      </c>
      <c r="N20" s="1894" t="str">
        <f t="shared" si="3"/>
        <v>NA</v>
      </c>
      <c r="O20" s="1892">
        <v>0.18320589180868033</v>
      </c>
      <c r="P20" s="1892">
        <f t="shared" si="4"/>
        <v>0.18320589180868033</v>
      </c>
      <c r="Q20" s="1890"/>
    </row>
    <row r="21" spans="1:17">
      <c r="A21" s="1889" t="s">
        <v>1978</v>
      </c>
      <c r="B21" s="1889" t="s">
        <v>1992</v>
      </c>
      <c r="C21" s="1890" t="s">
        <v>1993</v>
      </c>
      <c r="D21" s="1890" t="s">
        <v>84</v>
      </c>
      <c r="E21" s="1891">
        <f>'Calculation (table 3.2)'!E21</f>
        <v>0</v>
      </c>
      <c r="F21" s="1891">
        <f>'Calculation (table 3.2)'!F21</f>
        <v>0</v>
      </c>
      <c r="G21" s="1891">
        <f>'Calculation (table 3.2)'!G21</f>
        <v>2</v>
      </c>
      <c r="H21" s="1891">
        <f t="shared" si="0"/>
        <v>2</v>
      </c>
      <c r="I21" s="1891">
        <f>'Calculation (table 3.2)'!I21</f>
        <v>35</v>
      </c>
      <c r="J21" s="1892">
        <f t="shared" si="1"/>
        <v>35</v>
      </c>
      <c r="K21" s="1892">
        <f>'Calculation (table 3.2)'!K21</f>
        <v>35.057096285916209</v>
      </c>
      <c r="L21" s="1892">
        <f t="shared" si="2"/>
        <v>35.057096285916209</v>
      </c>
      <c r="M21" s="1893">
        <f>'Calculation (table 3.2)'!L21</f>
        <v>0</v>
      </c>
      <c r="N21" s="1894" t="str">
        <f t="shared" si="3"/>
        <v>NA</v>
      </c>
      <c r="O21" s="1892">
        <v>2.8548691268035853E-3</v>
      </c>
      <c r="P21" s="1892">
        <f t="shared" si="4"/>
        <v>2.8548691268035853E-3</v>
      </c>
      <c r="Q21" s="1890"/>
    </row>
    <row r="22" spans="1:17">
      <c r="A22" s="1889" t="s">
        <v>1978</v>
      </c>
      <c r="B22" s="1889" t="s">
        <v>1992</v>
      </c>
      <c r="C22" s="1890" t="s">
        <v>1993</v>
      </c>
      <c r="D22" s="1890" t="s">
        <v>85</v>
      </c>
      <c r="E22" s="1891">
        <f>'Calculation (table 3.2)'!E22</f>
        <v>0</v>
      </c>
      <c r="F22" s="1891">
        <f>'Calculation (table 3.2)'!F22</f>
        <v>0</v>
      </c>
      <c r="G22" s="1891">
        <f>'Calculation (table 3.2)'!G22</f>
        <v>2</v>
      </c>
      <c r="H22" s="1891">
        <f t="shared" si="0"/>
        <v>2</v>
      </c>
      <c r="I22" s="1891">
        <f>'Calculation (table 3.2)'!I22</f>
        <v>45</v>
      </c>
      <c r="J22" s="1892">
        <f t="shared" si="1"/>
        <v>45</v>
      </c>
      <c r="K22" s="1892">
        <f>'Calculation (table 3.2)'!K22</f>
        <v>45.044422518220834</v>
      </c>
      <c r="L22" s="1892">
        <f t="shared" si="2"/>
        <v>45.044422518220834</v>
      </c>
      <c r="M22" s="1893">
        <f>'Calculation (table 3.2)'!L22</f>
        <v>0</v>
      </c>
      <c r="N22" s="1894" t="str">
        <f t="shared" si="3"/>
        <v>NA</v>
      </c>
      <c r="O22" s="1892">
        <v>2.473288477851443E-2</v>
      </c>
      <c r="P22" s="1892">
        <f t="shared" si="4"/>
        <v>2.473288477851443E-2</v>
      </c>
      <c r="Q22" s="1890"/>
    </row>
    <row r="23" spans="1:17">
      <c r="A23" s="1889" t="s">
        <v>1978</v>
      </c>
      <c r="B23" s="1889" t="s">
        <v>1992</v>
      </c>
      <c r="C23" s="1890" t="s">
        <v>1994</v>
      </c>
      <c r="D23" s="1890" t="s">
        <v>2412</v>
      </c>
      <c r="E23" s="1891">
        <f>'Calculation (table 3.2)'!E23</f>
        <v>0</v>
      </c>
      <c r="F23" s="1891">
        <f>'Calculation (table 3.2)'!F23</f>
        <v>0</v>
      </c>
      <c r="G23" s="1891">
        <f>'Calculation (table 3.2)'!G23</f>
        <v>1.7</v>
      </c>
      <c r="H23" s="1891">
        <f t="shared" si="0"/>
        <v>1.7</v>
      </c>
      <c r="I23" s="1891">
        <f>'Calculation (table 3.2)'!I23</f>
        <v>1.6</v>
      </c>
      <c r="J23" s="1892">
        <f t="shared" si="1"/>
        <v>1.6</v>
      </c>
      <c r="K23" s="1892">
        <f>'Calculation (table 3.2)'!K23</f>
        <v>2.3345235059857505</v>
      </c>
      <c r="L23" s="1892">
        <f t="shared" si="2"/>
        <v>2.3345235059857505</v>
      </c>
      <c r="M23" s="1893">
        <f>'Calculation (table 3.2)'!L23</f>
        <v>0</v>
      </c>
      <c r="N23" s="1894" t="str">
        <f t="shared" si="3"/>
        <v>NA</v>
      </c>
      <c r="O23" s="1892">
        <v>6.7805303012535248E-2</v>
      </c>
      <c r="P23" s="1892">
        <f t="shared" si="4"/>
        <v>6.7805303012535248E-2</v>
      </c>
      <c r="Q23" s="1890"/>
    </row>
    <row r="24" spans="1:17">
      <c r="A24" s="1889" t="s">
        <v>1978</v>
      </c>
      <c r="B24" s="1889" t="s">
        <v>1992</v>
      </c>
      <c r="C24" s="1890" t="s">
        <v>1994</v>
      </c>
      <c r="D24" s="1890" t="s">
        <v>84</v>
      </c>
      <c r="E24" s="1891">
        <f>'Calculation (table 3.2)'!E24</f>
        <v>0</v>
      </c>
      <c r="F24" s="1891">
        <f>'Calculation (table 3.2)'!F24</f>
        <v>0</v>
      </c>
      <c r="G24" s="1891">
        <f>'Calculation (table 3.2)'!G24</f>
        <v>1.7</v>
      </c>
      <c r="H24" s="1891">
        <f t="shared" si="0"/>
        <v>1.7</v>
      </c>
      <c r="I24" s="1891">
        <f>'Calculation (table 3.2)'!I24</f>
        <v>25</v>
      </c>
      <c r="J24" s="1892">
        <f t="shared" si="1"/>
        <v>25</v>
      </c>
      <c r="K24" s="1892">
        <f>'Calculation (table 3.2)'!K24</f>
        <v>25.057733337235433</v>
      </c>
      <c r="L24" s="1892">
        <f t="shared" si="2"/>
        <v>25.057733337235433</v>
      </c>
      <c r="M24" s="1893">
        <f>'Calculation (table 3.2)'!L24</f>
        <v>0</v>
      </c>
      <c r="N24" s="1894" t="str">
        <f t="shared" si="3"/>
        <v>NA</v>
      </c>
      <c r="O24" s="1892">
        <v>2.0973064151318509E-4</v>
      </c>
      <c r="P24" s="1892">
        <f t="shared" si="4"/>
        <v>2.0973064151318509E-4</v>
      </c>
      <c r="Q24" s="1890"/>
    </row>
    <row r="25" spans="1:17">
      <c r="A25" s="1889" t="s">
        <v>1978</v>
      </c>
      <c r="B25" s="1889" t="s">
        <v>1992</v>
      </c>
      <c r="C25" s="1890" t="s">
        <v>1994</v>
      </c>
      <c r="D25" s="1890" t="s">
        <v>85</v>
      </c>
      <c r="E25" s="1891">
        <f>'Calculation (table 3.2)'!E25</f>
        <v>0</v>
      </c>
      <c r="F25" s="1891">
        <f>'Calculation (table 3.2)'!F25</f>
        <v>0</v>
      </c>
      <c r="G25" s="1891">
        <f>'Calculation (table 3.2)'!G25</f>
        <v>1.7</v>
      </c>
      <c r="H25" s="1891">
        <f t="shared" si="0"/>
        <v>1.7</v>
      </c>
      <c r="I25" s="1891">
        <f>'Calculation (table 3.2)'!I25</f>
        <v>50</v>
      </c>
      <c r="J25" s="1892">
        <f t="shared" si="1"/>
        <v>50</v>
      </c>
      <c r="K25" s="1892">
        <f>'Calculation (table 3.2)'!K25</f>
        <v>50.028891652724027</v>
      </c>
      <c r="L25" s="1892">
        <f t="shared" si="2"/>
        <v>50.028891652724027</v>
      </c>
      <c r="M25" s="1893">
        <f>'Calculation (table 3.2)'!L25</f>
        <v>0</v>
      </c>
      <c r="N25" s="1894" t="str">
        <f t="shared" si="3"/>
        <v>NA</v>
      </c>
      <c r="O25" s="1892">
        <v>3.1584425567766704E-3</v>
      </c>
      <c r="P25" s="1892">
        <f t="shared" si="4"/>
        <v>3.1584425567766704E-3</v>
      </c>
      <c r="Q25" s="1890"/>
    </row>
    <row r="26" spans="1:17">
      <c r="A26" s="1889" t="s">
        <v>1978</v>
      </c>
      <c r="B26" s="1889" t="s">
        <v>1992</v>
      </c>
      <c r="C26" s="1890" t="s">
        <v>1995</v>
      </c>
      <c r="D26" s="1890" t="s">
        <v>2412</v>
      </c>
      <c r="E26" s="1891">
        <f>'Calculation (table 3.2)'!E26</f>
        <v>0</v>
      </c>
      <c r="F26" s="1891">
        <f>'Calculation (table 3.2)'!F26</f>
        <v>0</v>
      </c>
      <c r="G26" s="1891">
        <f>'Calculation (table 3.2)'!G26</f>
        <v>1.6</v>
      </c>
      <c r="H26" s="1891">
        <f t="shared" si="0"/>
        <v>1.6</v>
      </c>
      <c r="I26" s="1891">
        <f>'Calculation (table 3.2)'!I26</f>
        <v>0.4</v>
      </c>
      <c r="J26" s="1892">
        <f t="shared" si="1"/>
        <v>0.4</v>
      </c>
      <c r="K26" s="1892">
        <f>'Calculation (table 3.2)'!K26</f>
        <v>1.6492422502470645</v>
      </c>
      <c r="L26" s="1892">
        <f t="shared" si="2"/>
        <v>1.6492422502470645</v>
      </c>
      <c r="M26" s="1893">
        <f>'Calculation (table 3.2)'!L26</f>
        <v>0</v>
      </c>
      <c r="N26" s="1894" t="str">
        <f t="shared" si="3"/>
        <v>NA</v>
      </c>
      <c r="O26" s="1892">
        <v>5.2388164350591557E-2</v>
      </c>
      <c r="P26" s="1892">
        <f t="shared" si="4"/>
        <v>5.2388164350591557E-2</v>
      </c>
      <c r="Q26" s="1890"/>
    </row>
    <row r="27" spans="1:17">
      <c r="A27" s="1889" t="s">
        <v>1978</v>
      </c>
      <c r="B27" s="1889" t="s">
        <v>1992</v>
      </c>
      <c r="C27" s="1890" t="s">
        <v>1995</v>
      </c>
      <c r="D27" s="1890" t="s">
        <v>84</v>
      </c>
      <c r="E27" s="1891">
        <f>'Calculation (table 3.2)'!E27</f>
        <v>0</v>
      </c>
      <c r="F27" s="1891">
        <f>'Calculation (table 3.2)'!F27</f>
        <v>0</v>
      </c>
      <c r="G27" s="1891">
        <f>'Calculation (table 3.2)'!G27</f>
        <v>1.6</v>
      </c>
      <c r="H27" s="1891">
        <f t="shared" si="0"/>
        <v>1.6</v>
      </c>
      <c r="I27" s="1891">
        <f>'Calculation (table 3.2)'!I27</f>
        <v>40</v>
      </c>
      <c r="J27" s="1892">
        <f t="shared" si="1"/>
        <v>40</v>
      </c>
      <c r="K27" s="1892">
        <f>'Calculation (table 3.2)'!K27</f>
        <v>40.031987210229772</v>
      </c>
      <c r="L27" s="1892">
        <f t="shared" si="2"/>
        <v>40.031987210229772</v>
      </c>
      <c r="M27" s="1893">
        <f>'Calculation (table 3.2)'!L27</f>
        <v>0</v>
      </c>
      <c r="N27" s="1894" t="str">
        <f t="shared" si="3"/>
        <v>NA</v>
      </c>
      <c r="O27" s="1892">
        <v>5.612400167225176E-5</v>
      </c>
      <c r="P27" s="1892">
        <f t="shared" si="4"/>
        <v>5.612400167225176E-5</v>
      </c>
      <c r="Q27" s="1890"/>
    </row>
    <row r="28" spans="1:17">
      <c r="A28" s="1889" t="s">
        <v>1978</v>
      </c>
      <c r="B28" s="1889" t="s">
        <v>1992</v>
      </c>
      <c r="C28" s="1890" t="s">
        <v>1995</v>
      </c>
      <c r="D28" s="1890" t="s">
        <v>85</v>
      </c>
      <c r="E28" s="1891">
        <f>'Calculation (table 3.2)'!E28</f>
        <v>0</v>
      </c>
      <c r="F28" s="1891">
        <f>'Calculation (table 3.2)'!F28</f>
        <v>0</v>
      </c>
      <c r="G28" s="1891">
        <f>'Calculation (table 3.2)'!G28</f>
        <v>1.6</v>
      </c>
      <c r="H28" s="1891">
        <f t="shared" si="0"/>
        <v>1.6</v>
      </c>
      <c r="I28" s="1891">
        <f>'Calculation (table 3.2)'!I28</f>
        <v>45</v>
      </c>
      <c r="J28" s="1892">
        <f t="shared" si="1"/>
        <v>45</v>
      </c>
      <c r="K28" s="1892">
        <f>'Calculation (table 3.2)'!K28</f>
        <v>45.028435460273322</v>
      </c>
      <c r="L28" s="1892">
        <f t="shared" si="2"/>
        <v>45.028435460273322</v>
      </c>
      <c r="M28" s="1893">
        <f>'Calculation (table 3.2)'!L28</f>
        <v>0</v>
      </c>
      <c r="N28" s="1894" t="str">
        <f t="shared" si="3"/>
        <v>NA</v>
      </c>
      <c r="O28" s="1892">
        <v>1.2130990725908071E-3</v>
      </c>
      <c r="P28" s="1892">
        <f t="shared" si="4"/>
        <v>1.2130990725908071E-3</v>
      </c>
      <c r="Q28" s="1890"/>
    </row>
    <row r="29" spans="1:17">
      <c r="A29" s="1889" t="s">
        <v>1978</v>
      </c>
      <c r="B29" s="1889" t="s">
        <v>1992</v>
      </c>
      <c r="C29" s="1890" t="s">
        <v>1996</v>
      </c>
      <c r="D29" s="1890" t="s">
        <v>2412</v>
      </c>
      <c r="E29" s="1891">
        <f>'Calculation (table 3.2)'!E29</f>
        <v>0</v>
      </c>
      <c r="F29" s="1891">
        <f>'Calculation (table 3.2)'!F29</f>
        <v>0</v>
      </c>
      <c r="G29" s="1891">
        <f>'Calculation (table 3.2)'!G29</f>
        <v>5.5</v>
      </c>
      <c r="H29" s="1891">
        <f t="shared" si="0"/>
        <v>5.5</v>
      </c>
      <c r="I29" s="1891">
        <f>'Calculation (table 3.2)'!I29</f>
        <v>8</v>
      </c>
      <c r="J29" s="1892">
        <f t="shared" si="1"/>
        <v>8</v>
      </c>
      <c r="K29" s="1892">
        <f>'Calculation (table 3.2)'!K29</f>
        <v>9.7082439194737997</v>
      </c>
      <c r="L29" s="1892">
        <f t="shared" si="2"/>
        <v>9.7082439194737997</v>
      </c>
      <c r="M29" s="1893">
        <f>'Calculation (table 3.2)'!L29</f>
        <v>0</v>
      </c>
      <c r="N29" s="1894" t="str">
        <f t="shared" si="3"/>
        <v>NA</v>
      </c>
      <c r="O29" s="1892">
        <v>9.2764610060544414E-2</v>
      </c>
      <c r="P29" s="1892">
        <f t="shared" si="4"/>
        <v>9.2764610060544414E-2</v>
      </c>
      <c r="Q29" s="1890"/>
    </row>
    <row r="30" spans="1:17">
      <c r="A30" s="1889" t="s">
        <v>1978</v>
      </c>
      <c r="B30" s="1889" t="s">
        <v>1992</v>
      </c>
      <c r="C30" s="1890" t="s">
        <v>1996</v>
      </c>
      <c r="D30" s="1890" t="s">
        <v>84</v>
      </c>
      <c r="E30" s="1891">
        <f>'Calculation (table 3.2)'!E30</f>
        <v>0</v>
      </c>
      <c r="F30" s="1891">
        <f>'Calculation (table 3.2)'!F30</f>
        <v>0</v>
      </c>
      <c r="G30" s="1891">
        <f>'Calculation (table 3.2)'!G30</f>
        <v>5.5</v>
      </c>
      <c r="H30" s="1891">
        <f t="shared" si="0"/>
        <v>5.5</v>
      </c>
      <c r="I30" s="1891">
        <f>'Calculation (table 3.2)'!I30</f>
        <v>40</v>
      </c>
      <c r="J30" s="1892">
        <f t="shared" si="1"/>
        <v>40</v>
      </c>
      <c r="K30" s="1892">
        <f>'Calculation (table 3.2)'!K30</f>
        <v>40.376354466444837</v>
      </c>
      <c r="L30" s="1892">
        <f t="shared" si="2"/>
        <v>40.376354466444837</v>
      </c>
      <c r="M30" s="1893">
        <f>'Calculation (table 3.2)'!L30</f>
        <v>0</v>
      </c>
      <c r="N30" s="1894" t="str">
        <f t="shared" si="3"/>
        <v>NA</v>
      </c>
      <c r="O30" s="1892">
        <v>2.0688367596442765E-4</v>
      </c>
      <c r="P30" s="1892">
        <f t="shared" si="4"/>
        <v>2.0688367596442765E-4</v>
      </c>
      <c r="Q30" s="1890"/>
    </row>
    <row r="31" spans="1:17">
      <c r="A31" s="1889" t="s">
        <v>1978</v>
      </c>
      <c r="B31" s="1889" t="s">
        <v>1992</v>
      </c>
      <c r="C31" s="1890" t="s">
        <v>1996</v>
      </c>
      <c r="D31" s="1890" t="s">
        <v>85</v>
      </c>
      <c r="E31" s="1891">
        <f>'Calculation (table 3.2)'!E31</f>
        <v>0</v>
      </c>
      <c r="F31" s="1891">
        <f>'Calculation (table 3.2)'!F31</f>
        <v>0</v>
      </c>
      <c r="G31" s="1891">
        <f>'Calculation (table 3.2)'!G31</f>
        <v>5.5</v>
      </c>
      <c r="H31" s="1891">
        <f t="shared" si="0"/>
        <v>5.5</v>
      </c>
      <c r="I31" s="1891">
        <f>'Calculation (table 3.2)'!I31</f>
        <v>30</v>
      </c>
      <c r="J31" s="1892">
        <f t="shared" si="1"/>
        <v>30</v>
      </c>
      <c r="K31" s="1892">
        <f>'Calculation (table 3.2)'!K31</f>
        <v>30.5</v>
      </c>
      <c r="L31" s="1892">
        <f t="shared" si="2"/>
        <v>30.5</v>
      </c>
      <c r="M31" s="1893">
        <f>'Calculation (table 3.2)'!L31</f>
        <v>0</v>
      </c>
      <c r="N31" s="1894" t="str">
        <f t="shared" si="3"/>
        <v>NA</v>
      </c>
      <c r="O31" s="1892">
        <v>1.5647799809236466E-3</v>
      </c>
      <c r="P31" s="1892">
        <f t="shared" si="4"/>
        <v>1.5647799809236466E-3</v>
      </c>
      <c r="Q31" s="1890"/>
    </row>
    <row r="32" spans="1:17">
      <c r="A32" s="1889" t="s">
        <v>1978</v>
      </c>
      <c r="B32" s="1889" t="s">
        <v>1992</v>
      </c>
      <c r="C32" s="1890" t="s">
        <v>1997</v>
      </c>
      <c r="D32" s="1890" t="s">
        <v>2412</v>
      </c>
      <c r="E32" s="1891">
        <f>'Calculation (table 3.2)'!E32</f>
        <v>0</v>
      </c>
      <c r="F32" s="1891">
        <f>'Calculation (table 3.2)'!F32</f>
        <v>0</v>
      </c>
      <c r="G32" s="1891">
        <f>'Calculation (table 3.2)'!G32</f>
        <v>2</v>
      </c>
      <c r="H32" s="1891">
        <f t="shared" si="0"/>
        <v>2</v>
      </c>
      <c r="I32" s="1891">
        <f>'Calculation (table 3.2)'!I32</f>
        <v>2</v>
      </c>
      <c r="J32" s="1892">
        <f t="shared" si="1"/>
        <v>2</v>
      </c>
      <c r="K32" s="1892">
        <f>'Calculation (table 3.2)'!K32</f>
        <v>2.8284271247461903</v>
      </c>
      <c r="L32" s="1892">
        <f t="shared" si="2"/>
        <v>2.8284271247461903</v>
      </c>
      <c r="M32" s="1893">
        <f>'Calculation (table 3.2)'!L32</f>
        <v>0</v>
      </c>
      <c r="N32" s="1894" t="str">
        <f t="shared" si="3"/>
        <v>NA</v>
      </c>
      <c r="O32" s="1892">
        <v>4.6621545884202344E-2</v>
      </c>
      <c r="P32" s="1892">
        <f t="shared" si="4"/>
        <v>4.6621545884202344E-2</v>
      </c>
      <c r="Q32" s="1890"/>
    </row>
    <row r="33" spans="1:17">
      <c r="A33" s="1889" t="s">
        <v>1978</v>
      </c>
      <c r="B33" s="1889" t="s">
        <v>1992</v>
      </c>
      <c r="C33" s="1890" t="s">
        <v>1997</v>
      </c>
      <c r="D33" s="1890" t="s">
        <v>84</v>
      </c>
      <c r="E33" s="1891">
        <f>'Calculation (table 3.2)'!E33</f>
        <v>0</v>
      </c>
      <c r="F33" s="1891">
        <f>'Calculation (table 3.2)'!F33</f>
        <v>0</v>
      </c>
      <c r="G33" s="1891">
        <f>'Calculation (table 3.2)'!G33</f>
        <v>2</v>
      </c>
      <c r="H33" s="1891">
        <f t="shared" si="0"/>
        <v>2</v>
      </c>
      <c r="I33" s="1891">
        <f>'Calculation (table 3.2)'!I33</f>
        <v>55</v>
      </c>
      <c r="J33" s="1892">
        <f t="shared" si="1"/>
        <v>55</v>
      </c>
      <c r="K33" s="1892">
        <f>'Calculation (table 3.2)'!K33</f>
        <v>55.036351623268054</v>
      </c>
      <c r="L33" s="1892">
        <f t="shared" si="2"/>
        <v>55.036351623268054</v>
      </c>
      <c r="M33" s="1893">
        <f>'Calculation (table 3.2)'!L33</f>
        <v>0</v>
      </c>
      <c r="N33" s="1894" t="str">
        <f t="shared" si="3"/>
        <v>NA</v>
      </c>
      <c r="O33" s="1892">
        <v>7.8011546650807746E-5</v>
      </c>
      <c r="P33" s="1892">
        <f t="shared" si="4"/>
        <v>7.8011546650807746E-5</v>
      </c>
      <c r="Q33" s="1890"/>
    </row>
    <row r="34" spans="1:17">
      <c r="A34" s="1889" t="s">
        <v>1978</v>
      </c>
      <c r="B34" s="1889" t="s">
        <v>1992</v>
      </c>
      <c r="C34" s="1890" t="s">
        <v>1997</v>
      </c>
      <c r="D34" s="1890" t="s">
        <v>85</v>
      </c>
      <c r="E34" s="1891">
        <f>'Calculation (table 3.2)'!E34</f>
        <v>0</v>
      </c>
      <c r="F34" s="1891">
        <f>'Calculation (table 3.2)'!F34</f>
        <v>0</v>
      </c>
      <c r="G34" s="1891">
        <f>'Calculation (table 3.2)'!G34</f>
        <v>2</v>
      </c>
      <c r="H34" s="1891">
        <f t="shared" si="0"/>
        <v>2</v>
      </c>
      <c r="I34" s="1891">
        <f>'Calculation (table 3.2)'!I34</f>
        <v>60</v>
      </c>
      <c r="J34" s="1892">
        <f t="shared" si="1"/>
        <v>60</v>
      </c>
      <c r="K34" s="1892">
        <f>'Calculation (table 3.2)'!K34</f>
        <v>60.033324079214538</v>
      </c>
      <c r="L34" s="1892">
        <f t="shared" si="2"/>
        <v>60.033324079214538</v>
      </c>
      <c r="M34" s="1893">
        <f>'Calculation (table 3.2)'!L34</f>
        <v>0</v>
      </c>
      <c r="N34" s="1894" t="str">
        <f t="shared" si="3"/>
        <v>NA</v>
      </c>
      <c r="O34" s="1892">
        <v>1.3191533672302E-3</v>
      </c>
      <c r="P34" s="1892">
        <f t="shared" si="4"/>
        <v>1.3191533672302E-3</v>
      </c>
      <c r="Q34" s="1890"/>
    </row>
    <row r="35" spans="1:17">
      <c r="A35" s="1889" t="s">
        <v>1978</v>
      </c>
      <c r="B35" s="1889" t="s">
        <v>1992</v>
      </c>
      <c r="C35" s="1890" t="s">
        <v>1998</v>
      </c>
      <c r="D35" s="1890" t="s">
        <v>84</v>
      </c>
      <c r="E35" s="1891">
        <f>'Calculation (table 3.2)'!E35</f>
        <v>0</v>
      </c>
      <c r="F35" s="1891">
        <f>'Calculation (table 3.2)'!F35</f>
        <v>0</v>
      </c>
      <c r="G35" s="1891">
        <f>'Calculation (table 3.2)'!G35</f>
        <v>1.8</v>
      </c>
      <c r="H35" s="1891">
        <f t="shared" si="0"/>
        <v>1.8</v>
      </c>
      <c r="I35" s="1891">
        <f>'Calculation (table 3.2)'!I35</f>
        <v>30</v>
      </c>
      <c r="J35" s="1892">
        <f t="shared" si="1"/>
        <v>30</v>
      </c>
      <c r="K35" s="1892">
        <f>'Calculation (table 3.2)'!K35</f>
        <v>30.053951487283666</v>
      </c>
      <c r="L35" s="1892">
        <f t="shared" si="2"/>
        <v>30.053951487283666</v>
      </c>
      <c r="M35" s="1893">
        <f>'Calculation (table 3.2)'!L35</f>
        <v>0</v>
      </c>
      <c r="N35" s="1894" t="str">
        <f t="shared" si="3"/>
        <v>NA</v>
      </c>
      <c r="O35" s="1892">
        <v>6.4761094063519025E-3</v>
      </c>
      <c r="P35" s="1892">
        <f t="shared" si="4"/>
        <v>6.4761094063519025E-3</v>
      </c>
      <c r="Q35" s="1890"/>
    </row>
    <row r="36" spans="1:17">
      <c r="A36" s="1889" t="s">
        <v>1978</v>
      </c>
      <c r="B36" s="1889" t="s">
        <v>1992</v>
      </c>
      <c r="C36" s="1890" t="s">
        <v>1998</v>
      </c>
      <c r="D36" s="1890" t="s">
        <v>85</v>
      </c>
      <c r="E36" s="1891">
        <f>'Calculation (table 3.2)'!E36</f>
        <v>0</v>
      </c>
      <c r="F36" s="1891">
        <f>'Calculation (table 3.2)'!F36</f>
        <v>0</v>
      </c>
      <c r="G36" s="1891">
        <f>'Calculation (table 3.2)'!G36</f>
        <v>1.8</v>
      </c>
      <c r="H36" s="1891">
        <f t="shared" si="0"/>
        <v>1.8</v>
      </c>
      <c r="I36" s="1891">
        <f>'Calculation (table 3.2)'!I36</f>
        <v>40</v>
      </c>
      <c r="J36" s="1892">
        <f t="shared" si="1"/>
        <v>40</v>
      </c>
      <c r="K36" s="1892">
        <f>'Calculation (table 3.2)'!K36</f>
        <v>40.040479517608176</v>
      </c>
      <c r="L36" s="1892">
        <f t="shared" si="2"/>
        <v>40.040479517608176</v>
      </c>
      <c r="M36" s="1893">
        <f>'Calculation (table 3.2)'!L36</f>
        <v>0</v>
      </c>
      <c r="N36" s="1894" t="str">
        <f t="shared" si="3"/>
        <v>NA</v>
      </c>
      <c r="O36" s="1892">
        <v>3.617497256319805E-2</v>
      </c>
      <c r="P36" s="1892">
        <f t="shared" si="4"/>
        <v>3.617497256319805E-2</v>
      </c>
      <c r="Q36" s="1890"/>
    </row>
    <row r="37" spans="1:17">
      <c r="A37" s="1889" t="s">
        <v>1978</v>
      </c>
      <c r="B37" s="1889" t="s">
        <v>1999</v>
      </c>
      <c r="C37" s="1890" t="s">
        <v>2000</v>
      </c>
      <c r="D37" s="1890" t="s">
        <v>2412</v>
      </c>
      <c r="E37" s="1891">
        <f>'Calculation (table 3.2)'!E37</f>
        <v>0</v>
      </c>
      <c r="F37" s="1891">
        <f>'Calculation (table 3.2)'!F37</f>
        <v>0</v>
      </c>
      <c r="G37" s="1891">
        <f>'Calculation (table 3.2)'!G37</f>
        <v>5</v>
      </c>
      <c r="H37" s="1891">
        <f t="shared" si="0"/>
        <v>5</v>
      </c>
      <c r="I37" s="1891">
        <f>'Calculation (table 3.2)'!I37</f>
        <v>2</v>
      </c>
      <c r="J37" s="1892">
        <f t="shared" si="1"/>
        <v>2</v>
      </c>
      <c r="K37" s="1892">
        <f>'Calculation (table 3.2)'!K37</f>
        <v>5.3851648071345037</v>
      </c>
      <c r="L37" s="1892">
        <f t="shared" si="2"/>
        <v>5.3851648071345037</v>
      </c>
      <c r="M37" s="1893">
        <f>'Calculation (table 3.2)'!L37</f>
        <v>0</v>
      </c>
      <c r="N37" s="1894" t="str">
        <f t="shared" si="3"/>
        <v>NA</v>
      </c>
      <c r="O37" s="1892">
        <v>2.3055054022824227E-2</v>
      </c>
      <c r="P37" s="1892">
        <f t="shared" si="4"/>
        <v>2.3055054022824227E-2</v>
      </c>
      <c r="Q37" s="1890"/>
    </row>
    <row r="38" spans="1:17">
      <c r="A38" s="1889" t="s">
        <v>1978</v>
      </c>
      <c r="B38" s="1889" t="s">
        <v>1999</v>
      </c>
      <c r="C38" s="1890" t="s">
        <v>2000</v>
      </c>
      <c r="D38" s="1890" t="s">
        <v>84</v>
      </c>
      <c r="E38" s="1891">
        <f>'Calculation (table 3.2)'!E38</f>
        <v>0</v>
      </c>
      <c r="F38" s="1891">
        <f>'Calculation (table 3.2)'!F38</f>
        <v>0</v>
      </c>
      <c r="G38" s="1891">
        <f>'Calculation (table 3.2)'!G38</f>
        <v>5</v>
      </c>
      <c r="H38" s="1891">
        <f t="shared" si="0"/>
        <v>5</v>
      </c>
      <c r="I38" s="1891">
        <f>'Calculation (table 3.2)'!I38</f>
        <v>60</v>
      </c>
      <c r="J38" s="1892">
        <f t="shared" si="1"/>
        <v>60</v>
      </c>
      <c r="K38" s="1892">
        <f>'Calculation (table 3.2)'!K38</f>
        <v>60.207972893961475</v>
      </c>
      <c r="L38" s="1892">
        <f t="shared" si="2"/>
        <v>60.207972893961475</v>
      </c>
      <c r="M38" s="1893">
        <f>'Calculation (table 3.2)'!L38</f>
        <v>0</v>
      </c>
      <c r="N38" s="1894" t="str">
        <f t="shared" si="3"/>
        <v>NA</v>
      </c>
      <c r="O38" s="1892">
        <v>9.5791455267969111E-6</v>
      </c>
      <c r="P38" s="1892">
        <f t="shared" si="4"/>
        <v>9.5791455267969111E-6</v>
      </c>
      <c r="Q38" s="1890"/>
    </row>
    <row r="39" spans="1:17">
      <c r="A39" s="1889" t="s">
        <v>1978</v>
      </c>
      <c r="B39" s="1889" t="s">
        <v>1999</v>
      </c>
      <c r="C39" s="1890" t="s">
        <v>2000</v>
      </c>
      <c r="D39" s="1890" t="s">
        <v>85</v>
      </c>
      <c r="E39" s="1891">
        <f>'Calculation (table 3.2)'!E39</f>
        <v>0</v>
      </c>
      <c r="F39" s="1891">
        <f>'Calculation (table 3.2)'!F39</f>
        <v>0</v>
      </c>
      <c r="G39" s="1891">
        <f>'Calculation (table 3.2)'!G39</f>
        <v>5</v>
      </c>
      <c r="H39" s="1891">
        <f t="shared" si="0"/>
        <v>5</v>
      </c>
      <c r="I39" s="1891">
        <f>'Calculation (table 3.2)'!I39</f>
        <v>150</v>
      </c>
      <c r="J39" s="1892">
        <f t="shared" si="1"/>
        <v>150</v>
      </c>
      <c r="K39" s="1892">
        <f>'Calculation (table 3.2)'!K39</f>
        <v>150.08331019803634</v>
      </c>
      <c r="L39" s="1892">
        <f t="shared" si="2"/>
        <v>150.08331019803634</v>
      </c>
      <c r="M39" s="1893">
        <f>'Calculation (table 3.2)'!L39</f>
        <v>0</v>
      </c>
      <c r="N39" s="1894" t="str">
        <f t="shared" si="3"/>
        <v>NA</v>
      </c>
      <c r="O39" s="1892">
        <v>6.0160989394547723E-4</v>
      </c>
      <c r="P39" s="1892">
        <f t="shared" si="4"/>
        <v>6.0160989394547723E-4</v>
      </c>
      <c r="Q39" s="1890"/>
    </row>
    <row r="40" spans="1:17">
      <c r="A40" s="1889" t="s">
        <v>1978</v>
      </c>
      <c r="B40" s="1889" t="s">
        <v>2001</v>
      </c>
      <c r="C40" s="1890" t="s">
        <v>2002</v>
      </c>
      <c r="D40" s="1890" t="s">
        <v>2412</v>
      </c>
      <c r="E40" s="1891">
        <f>'Calculation (table 3.2)'!E40</f>
        <v>0</v>
      </c>
      <c r="F40" s="1891">
        <f>'Calculation (table 3.2)'!F40</f>
        <v>0</v>
      </c>
      <c r="G40" s="1891">
        <f>'Calculation (table 3.2)'!G40</f>
        <v>1</v>
      </c>
      <c r="H40" s="1891">
        <f t="shared" si="0"/>
        <v>1</v>
      </c>
      <c r="I40" s="1891">
        <f>'Calculation (table 3.2)'!I40</f>
        <v>1.5</v>
      </c>
      <c r="J40" s="1892">
        <f t="shared" si="1"/>
        <v>1.5</v>
      </c>
      <c r="K40" s="1892">
        <f>'Calculation (table 3.2)'!K40</f>
        <v>1.8027756377319946</v>
      </c>
      <c r="L40" s="1892">
        <f t="shared" si="2"/>
        <v>1.8027756377319946</v>
      </c>
      <c r="M40" s="1893">
        <f>'Calculation (table 3.2)'!L40</f>
        <v>0</v>
      </c>
      <c r="N40" s="1894" t="str">
        <f t="shared" si="3"/>
        <v>NA</v>
      </c>
      <c r="O40" s="1892">
        <v>0.34696546627053459</v>
      </c>
      <c r="P40" s="1892">
        <f t="shared" si="4"/>
        <v>0.34696546627053459</v>
      </c>
      <c r="Q40" s="1890"/>
    </row>
    <row r="41" spans="1:17">
      <c r="A41" s="1889" t="s">
        <v>1978</v>
      </c>
      <c r="B41" s="1889" t="s">
        <v>2001</v>
      </c>
      <c r="C41" s="1890" t="s">
        <v>2002</v>
      </c>
      <c r="D41" s="1890" t="s">
        <v>84</v>
      </c>
      <c r="E41" s="1891">
        <f>'Calculation (table 3.2)'!E41</f>
        <v>0</v>
      </c>
      <c r="F41" s="1891">
        <f>'Calculation (table 3.2)'!F41</f>
        <v>0</v>
      </c>
      <c r="G41" s="1891">
        <f>'Calculation (table 3.2)'!G41</f>
        <v>1</v>
      </c>
      <c r="H41" s="1891">
        <f t="shared" si="0"/>
        <v>1</v>
      </c>
      <c r="I41" s="1891">
        <f>'Calculation (table 3.2)'!I41</f>
        <v>60</v>
      </c>
      <c r="J41" s="1892">
        <f t="shared" si="1"/>
        <v>60</v>
      </c>
      <c r="K41" s="1892">
        <f>'Calculation (table 3.2)'!K41</f>
        <v>60.00833275470999</v>
      </c>
      <c r="L41" s="1892">
        <f t="shared" si="2"/>
        <v>60.00833275470999</v>
      </c>
      <c r="M41" s="1893">
        <f>'Calculation (table 3.2)'!L41</f>
        <v>0</v>
      </c>
      <c r="N41" s="1894" t="str">
        <f t="shared" si="3"/>
        <v>NA</v>
      </c>
      <c r="O41" s="1892">
        <v>4.3990848646439408E-3</v>
      </c>
      <c r="P41" s="1892">
        <f t="shared" si="4"/>
        <v>4.3990848646439408E-3</v>
      </c>
      <c r="Q41" s="1890"/>
    </row>
    <row r="42" spans="1:17">
      <c r="A42" s="1889" t="s">
        <v>1978</v>
      </c>
      <c r="B42" s="1889" t="s">
        <v>2001</v>
      </c>
      <c r="C42" s="1890" t="s">
        <v>2002</v>
      </c>
      <c r="D42" s="1890" t="s">
        <v>85</v>
      </c>
      <c r="E42" s="1891">
        <f>'Calculation (table 3.2)'!E42</f>
        <v>0</v>
      </c>
      <c r="F42" s="1891">
        <f>'Calculation (table 3.2)'!F42</f>
        <v>0</v>
      </c>
      <c r="G42" s="1891">
        <f>'Calculation (table 3.2)'!G42</f>
        <v>1</v>
      </c>
      <c r="H42" s="1891">
        <f t="shared" si="0"/>
        <v>1</v>
      </c>
      <c r="I42" s="1891">
        <f>'Calculation (table 3.2)'!I42</f>
        <v>140</v>
      </c>
      <c r="J42" s="1892">
        <f t="shared" si="1"/>
        <v>140</v>
      </c>
      <c r="K42" s="1892">
        <f>'Calculation (table 3.2)'!K42</f>
        <v>140.00357138301865</v>
      </c>
      <c r="L42" s="1892">
        <f t="shared" si="2"/>
        <v>140.00357138301865</v>
      </c>
      <c r="M42" s="1893">
        <f>'Calculation (table 3.2)'!L42</f>
        <v>0</v>
      </c>
      <c r="N42" s="1894" t="str">
        <f t="shared" si="3"/>
        <v>NA</v>
      </c>
      <c r="O42" s="1892">
        <v>0.20024643116858637</v>
      </c>
      <c r="P42" s="1892">
        <f t="shared" si="4"/>
        <v>0.20024643116858637</v>
      </c>
      <c r="Q42" s="1890"/>
    </row>
    <row r="43" spans="1:17">
      <c r="A43" s="1889" t="s">
        <v>1978</v>
      </c>
      <c r="B43" s="1889" t="s">
        <v>2001</v>
      </c>
      <c r="C43" s="1890" t="s">
        <v>2003</v>
      </c>
      <c r="D43" s="1890" t="s">
        <v>2412</v>
      </c>
      <c r="E43" s="1891">
        <f>'Calculation (table 3.2)'!E43</f>
        <v>0</v>
      </c>
      <c r="F43" s="1891">
        <f>'Calculation (table 3.2)'!F43</f>
        <v>0</v>
      </c>
      <c r="G43" s="1891">
        <f>'Calculation (table 3.2)'!G43</f>
        <v>2</v>
      </c>
      <c r="H43" s="1891">
        <f t="shared" si="0"/>
        <v>2</v>
      </c>
      <c r="I43" s="1891">
        <f>'Calculation (table 3.2)'!I43</f>
        <v>2</v>
      </c>
      <c r="J43" s="1892">
        <f t="shared" si="1"/>
        <v>2</v>
      </c>
      <c r="K43" s="1892">
        <f>'Calculation (table 3.2)'!K43</f>
        <v>2.8284271247461903</v>
      </c>
      <c r="L43" s="1892">
        <f t="shared" si="2"/>
        <v>2.8284271247461903</v>
      </c>
      <c r="M43" s="1893">
        <f>'Calculation (table 3.2)'!L43</f>
        <v>0</v>
      </c>
      <c r="N43" s="1894" t="str">
        <f t="shared" si="3"/>
        <v>NA</v>
      </c>
      <c r="O43" s="1892">
        <v>0.282616866422158</v>
      </c>
      <c r="P43" s="1892">
        <f t="shared" si="4"/>
        <v>0.282616866422158</v>
      </c>
      <c r="Q43" s="1890"/>
    </row>
    <row r="44" spans="1:17">
      <c r="A44" s="1889" t="s">
        <v>1978</v>
      </c>
      <c r="B44" s="1889" t="s">
        <v>2001</v>
      </c>
      <c r="C44" s="1890" t="s">
        <v>2003</v>
      </c>
      <c r="D44" s="1890" t="s">
        <v>84</v>
      </c>
      <c r="E44" s="1891">
        <f>'Calculation (table 3.2)'!E44</f>
        <v>0</v>
      </c>
      <c r="F44" s="1891">
        <f>'Calculation (table 3.2)'!F44</f>
        <v>0</v>
      </c>
      <c r="G44" s="1891">
        <f>'Calculation (table 3.2)'!G44</f>
        <v>2</v>
      </c>
      <c r="H44" s="1891">
        <f t="shared" si="0"/>
        <v>2</v>
      </c>
      <c r="I44" s="1891">
        <f>'Calculation (table 3.2)'!I44</f>
        <v>60</v>
      </c>
      <c r="J44" s="1892">
        <f t="shared" si="1"/>
        <v>60</v>
      </c>
      <c r="K44" s="1892">
        <f>'Calculation (table 3.2)'!K44</f>
        <v>60.033324079214538</v>
      </c>
      <c r="L44" s="1892">
        <f t="shared" si="2"/>
        <v>60.033324079214538</v>
      </c>
      <c r="M44" s="1893">
        <f>'Calculation (table 3.2)'!L44</f>
        <v>0</v>
      </c>
      <c r="N44" s="1894" t="str">
        <f t="shared" si="3"/>
        <v>NA</v>
      </c>
      <c r="O44" s="1892">
        <v>1.8177452541745878E-2</v>
      </c>
      <c r="P44" s="1892">
        <f t="shared" si="4"/>
        <v>1.8177452541745878E-2</v>
      </c>
      <c r="Q44" s="1890"/>
    </row>
    <row r="45" spans="1:17">
      <c r="A45" s="1889" t="s">
        <v>1978</v>
      </c>
      <c r="B45" s="1889" t="s">
        <v>2001</v>
      </c>
      <c r="C45" s="1890" t="s">
        <v>2003</v>
      </c>
      <c r="D45" s="1890" t="s">
        <v>85</v>
      </c>
      <c r="E45" s="1891">
        <f>'Calculation (table 3.2)'!E45</f>
        <v>0</v>
      </c>
      <c r="F45" s="1891">
        <f>'Calculation (table 3.2)'!F45</f>
        <v>0</v>
      </c>
      <c r="G45" s="1891">
        <f>'Calculation (table 3.2)'!G45</f>
        <v>2</v>
      </c>
      <c r="H45" s="1891">
        <f t="shared" si="0"/>
        <v>2</v>
      </c>
      <c r="I45" s="1891">
        <f>'Calculation (table 3.2)'!I45</f>
        <v>150</v>
      </c>
      <c r="J45" s="1892">
        <f t="shared" si="1"/>
        <v>150</v>
      </c>
      <c r="K45" s="1892">
        <f>'Calculation (table 3.2)'!K45</f>
        <v>150.0133327407934</v>
      </c>
      <c r="L45" s="1892">
        <f t="shared" si="2"/>
        <v>150.0133327407934</v>
      </c>
      <c r="M45" s="1893">
        <f>'Calculation (table 3.2)'!L45</f>
        <v>0</v>
      </c>
      <c r="N45" s="1894" t="str">
        <f t="shared" si="3"/>
        <v>NA</v>
      </c>
      <c r="O45" s="1892">
        <v>5.0432013331226856E-2</v>
      </c>
      <c r="P45" s="1892">
        <f t="shared" si="4"/>
        <v>5.0432013331226856E-2</v>
      </c>
      <c r="Q45" s="1890"/>
    </row>
    <row r="46" spans="1:17">
      <c r="A46" s="1889" t="s">
        <v>1978</v>
      </c>
      <c r="B46" s="1889" t="s">
        <v>2001</v>
      </c>
      <c r="C46" s="1890" t="s">
        <v>2004</v>
      </c>
      <c r="D46" s="1890" t="s">
        <v>2412</v>
      </c>
      <c r="E46" s="1891">
        <f>'Calculation (table 3.2)'!E46</f>
        <v>0</v>
      </c>
      <c r="F46" s="1891">
        <f>'Calculation (table 3.2)'!F46</f>
        <v>0</v>
      </c>
      <c r="G46" s="1891">
        <f>'Calculation (table 3.2)'!G46</f>
        <v>3</v>
      </c>
      <c r="H46" s="1891">
        <f t="shared" si="0"/>
        <v>3</v>
      </c>
      <c r="I46" s="1891">
        <f>'Calculation (table 3.2)'!I46</f>
        <v>0.5</v>
      </c>
      <c r="J46" s="1892">
        <f t="shared" si="1"/>
        <v>0.5</v>
      </c>
      <c r="K46" s="1892">
        <f>'Calculation (table 3.2)'!K46</f>
        <v>3.0413812651491097</v>
      </c>
      <c r="L46" s="1892">
        <f t="shared" si="2"/>
        <v>3.0413812651491097</v>
      </c>
      <c r="M46" s="1893">
        <f>'Calculation (table 3.2)'!L46</f>
        <v>0</v>
      </c>
      <c r="N46" s="1894" t="str">
        <f t="shared" si="3"/>
        <v>NA</v>
      </c>
      <c r="O46" s="1892">
        <v>4.0135054149916834E-4</v>
      </c>
      <c r="P46" s="1892">
        <f t="shared" si="4"/>
        <v>4.0135054149916834E-4</v>
      </c>
      <c r="Q46" s="1890"/>
    </row>
    <row r="47" spans="1:17">
      <c r="A47" s="1889" t="s">
        <v>1978</v>
      </c>
      <c r="B47" s="1889" t="s">
        <v>2001</v>
      </c>
      <c r="C47" s="1890" t="s">
        <v>2004</v>
      </c>
      <c r="D47" s="1890" t="s">
        <v>84</v>
      </c>
      <c r="E47" s="1891">
        <f>'Calculation (table 3.2)'!E47</f>
        <v>0</v>
      </c>
      <c r="F47" s="1891">
        <f>'Calculation (table 3.2)'!F47</f>
        <v>0</v>
      </c>
      <c r="G47" s="1891">
        <f>'Calculation (table 3.2)'!G47</f>
        <v>3</v>
      </c>
      <c r="H47" s="1891">
        <f t="shared" si="0"/>
        <v>3</v>
      </c>
      <c r="I47" s="1891">
        <f>'Calculation (table 3.2)'!I47</f>
        <v>60</v>
      </c>
      <c r="J47" s="1892">
        <f t="shared" si="1"/>
        <v>60</v>
      </c>
      <c r="K47" s="1892">
        <f>'Calculation (table 3.2)'!K47</f>
        <v>60.074953183502359</v>
      </c>
      <c r="L47" s="1892">
        <f t="shared" si="2"/>
        <v>60.074953183502359</v>
      </c>
      <c r="M47" s="1893">
        <f>'Calculation (table 3.2)'!L47</f>
        <v>0</v>
      </c>
      <c r="N47" s="1894" t="str">
        <f t="shared" si="3"/>
        <v>NA</v>
      </c>
      <c r="O47" s="1892">
        <v>1.2684380285253843E-4</v>
      </c>
      <c r="P47" s="1892">
        <f t="shared" si="4"/>
        <v>1.2684380285253843E-4</v>
      </c>
      <c r="Q47" s="1890"/>
    </row>
    <row r="48" spans="1:17">
      <c r="A48" s="1889" t="s">
        <v>1978</v>
      </c>
      <c r="B48" s="1889" t="s">
        <v>2001</v>
      </c>
      <c r="C48" s="1890" t="s">
        <v>2004</v>
      </c>
      <c r="D48" s="1890" t="s">
        <v>85</v>
      </c>
      <c r="E48" s="1891">
        <f>'Calculation (table 3.2)'!E48</f>
        <v>0</v>
      </c>
      <c r="F48" s="1891">
        <f>'Calculation (table 3.2)'!F48</f>
        <v>0</v>
      </c>
      <c r="G48" s="1891">
        <f>'Calculation (table 3.2)'!G48</f>
        <v>3</v>
      </c>
      <c r="H48" s="1891">
        <f t="shared" si="0"/>
        <v>3</v>
      </c>
      <c r="I48" s="1891">
        <f>'Calculation (table 3.2)'!I48</f>
        <v>150</v>
      </c>
      <c r="J48" s="1892">
        <f t="shared" si="1"/>
        <v>150</v>
      </c>
      <c r="K48" s="1892">
        <f>'Calculation (table 3.2)'!K48</f>
        <v>150.02999700059985</v>
      </c>
      <c r="L48" s="1892">
        <f t="shared" si="2"/>
        <v>150.02999700059985</v>
      </c>
      <c r="M48" s="1893">
        <f>'Calculation (table 3.2)'!L48</f>
        <v>0</v>
      </c>
      <c r="N48" s="1894" t="str">
        <f t="shared" si="3"/>
        <v>NA</v>
      </c>
      <c r="O48" s="1892">
        <v>4.2023513364894248E-4</v>
      </c>
      <c r="P48" s="1892">
        <f t="shared" si="4"/>
        <v>4.2023513364894248E-4</v>
      </c>
      <c r="Q48" s="1890"/>
    </row>
    <row r="49" spans="1:17">
      <c r="A49" s="1889" t="s">
        <v>1978</v>
      </c>
      <c r="B49" s="1889" t="s">
        <v>2001</v>
      </c>
      <c r="C49" s="1890" t="s">
        <v>2005</v>
      </c>
      <c r="D49" s="1890" t="s">
        <v>84</v>
      </c>
      <c r="E49" s="1891">
        <f>'Calculation (table 3.2)'!E49</f>
        <v>0</v>
      </c>
      <c r="F49" s="1891">
        <f>'Calculation (table 3.2)'!F49</f>
        <v>0</v>
      </c>
      <c r="G49" s="1891">
        <f>'Calculation (table 3.2)'!G49</f>
        <v>1</v>
      </c>
      <c r="H49" s="1891">
        <f t="shared" si="0"/>
        <v>1</v>
      </c>
      <c r="I49" s="1891">
        <f>'Calculation (table 3.2)'!I49</f>
        <v>45</v>
      </c>
      <c r="J49" s="1892">
        <f t="shared" si="1"/>
        <v>45</v>
      </c>
      <c r="K49" s="1892">
        <f>'Calculation (table 3.2)'!K49</f>
        <v>45.011109739707599</v>
      </c>
      <c r="L49" s="1892">
        <f t="shared" si="2"/>
        <v>45.011109739707599</v>
      </c>
      <c r="M49" s="1893">
        <f>'Calculation (table 3.2)'!L49</f>
        <v>0</v>
      </c>
      <c r="N49" s="1894" t="str">
        <f t="shared" si="3"/>
        <v>NA</v>
      </c>
      <c r="O49" s="1892">
        <v>9.2719731026293345E-4</v>
      </c>
      <c r="P49" s="1892">
        <f t="shared" si="4"/>
        <v>9.2719731026293345E-4</v>
      </c>
      <c r="Q49" s="1890"/>
    </row>
    <row r="50" spans="1:17">
      <c r="A50" s="1889" t="s">
        <v>1978</v>
      </c>
      <c r="B50" s="1889" t="s">
        <v>2001</v>
      </c>
      <c r="C50" s="1890" t="s">
        <v>2005</v>
      </c>
      <c r="D50" s="1890" t="s">
        <v>85</v>
      </c>
      <c r="E50" s="1891">
        <f>'Calculation (table 3.2)'!E50</f>
        <v>0</v>
      </c>
      <c r="F50" s="1891">
        <f>'Calculation (table 3.2)'!F50</f>
        <v>0</v>
      </c>
      <c r="G50" s="1891">
        <f>'Calculation (table 3.2)'!G50</f>
        <v>1</v>
      </c>
      <c r="H50" s="1891">
        <f t="shared" si="0"/>
        <v>1</v>
      </c>
      <c r="I50" s="1891">
        <f>'Calculation (table 3.2)'!I50</f>
        <v>120</v>
      </c>
      <c r="J50" s="1892">
        <f t="shared" si="1"/>
        <v>120</v>
      </c>
      <c r="K50" s="1892">
        <f>'Calculation (table 3.2)'!K50</f>
        <v>120.00416659433121</v>
      </c>
      <c r="L50" s="1892">
        <f t="shared" si="2"/>
        <v>120.00416659433121</v>
      </c>
      <c r="M50" s="1893">
        <f>'Calculation (table 3.2)'!L50</f>
        <v>0</v>
      </c>
      <c r="N50" s="1894" t="str">
        <f t="shared" si="3"/>
        <v>NA</v>
      </c>
      <c r="O50" s="1892">
        <v>9.9459529877521397E-3</v>
      </c>
      <c r="P50" s="1892">
        <f t="shared" si="4"/>
        <v>9.9459529877521397E-3</v>
      </c>
      <c r="Q50" s="1890"/>
    </row>
    <row r="51" spans="1:17">
      <c r="A51" s="1889" t="s">
        <v>1978</v>
      </c>
      <c r="B51" s="1889" t="s">
        <v>2006</v>
      </c>
      <c r="C51" s="1890" t="s">
        <v>2007</v>
      </c>
      <c r="D51" s="1890" t="s">
        <v>2412</v>
      </c>
      <c r="E51" s="1891">
        <f>'Calculation (table 3.2)'!E51</f>
        <v>0</v>
      </c>
      <c r="F51" s="1891">
        <f>'Calculation (table 3.2)'!F51</f>
        <v>0</v>
      </c>
      <c r="G51" s="1891">
        <f>'Calculation (table 3.2)'!G51</f>
        <v>2</v>
      </c>
      <c r="H51" s="1891">
        <f t="shared" si="0"/>
        <v>2</v>
      </c>
      <c r="I51" s="1891">
        <f>'Calculation (table 3.2)'!I51</f>
        <v>1.5</v>
      </c>
      <c r="J51" s="1892">
        <f t="shared" si="1"/>
        <v>1.5</v>
      </c>
      <c r="K51" s="1892">
        <f>'Calculation (table 3.2)'!K51</f>
        <v>2.5</v>
      </c>
      <c r="L51" s="1892">
        <f t="shared" si="2"/>
        <v>2.5</v>
      </c>
      <c r="M51" s="1893">
        <f>'Calculation (table 3.2)'!L51</f>
        <v>0</v>
      </c>
      <c r="N51" s="1894" t="str">
        <f t="shared" si="3"/>
        <v>NA</v>
      </c>
      <c r="O51" s="1892">
        <v>3.3333661376209914E-3</v>
      </c>
      <c r="P51" s="1892">
        <f t="shared" si="4"/>
        <v>3.3333661376209914E-3</v>
      </c>
      <c r="Q51" s="1890"/>
    </row>
    <row r="52" spans="1:17">
      <c r="A52" s="1889" t="s">
        <v>1978</v>
      </c>
      <c r="B52" s="1889" t="s">
        <v>2006</v>
      </c>
      <c r="C52" s="1890" t="s">
        <v>2007</v>
      </c>
      <c r="D52" s="1890" t="s">
        <v>84</v>
      </c>
      <c r="E52" s="1891">
        <f>'Calculation (table 3.2)'!E52</f>
        <v>0</v>
      </c>
      <c r="F52" s="1891">
        <f>'Calculation (table 3.2)'!F52</f>
        <v>0</v>
      </c>
      <c r="G52" s="1891">
        <f>'Calculation (table 3.2)'!G52</f>
        <v>2</v>
      </c>
      <c r="H52" s="1891">
        <f t="shared" si="0"/>
        <v>2</v>
      </c>
      <c r="I52" s="1891">
        <f>'Calculation (table 3.2)'!I52</f>
        <v>60</v>
      </c>
      <c r="J52" s="1892">
        <f t="shared" si="1"/>
        <v>60</v>
      </c>
      <c r="K52" s="1892">
        <f>'Calculation (table 3.2)'!K52</f>
        <v>60.033324079214538</v>
      </c>
      <c r="L52" s="1892">
        <f t="shared" si="2"/>
        <v>60.033324079214538</v>
      </c>
      <c r="M52" s="1893">
        <f>'Calculation (table 3.2)'!L52</f>
        <v>0</v>
      </c>
      <c r="N52" s="1894" t="str">
        <f t="shared" si="3"/>
        <v>NA</v>
      </c>
      <c r="O52" s="1892">
        <v>6.3694670045385716E-5</v>
      </c>
      <c r="P52" s="1892">
        <f>O52</f>
        <v>6.3694670045385716E-5</v>
      </c>
      <c r="Q52" s="1890"/>
    </row>
    <row r="53" spans="1:17">
      <c r="A53" s="1889" t="s">
        <v>1978</v>
      </c>
      <c r="B53" s="1889" t="s">
        <v>2006</v>
      </c>
      <c r="C53" s="1890" t="s">
        <v>2007</v>
      </c>
      <c r="D53" s="1890" t="s">
        <v>85</v>
      </c>
      <c r="E53" s="1891">
        <f>'Calculation (table 3.2)'!E53</f>
        <v>0</v>
      </c>
      <c r="F53" s="1891">
        <f>'Calculation (table 3.2)'!F53</f>
        <v>0</v>
      </c>
      <c r="G53" s="1891">
        <f>'Calculation (table 3.2)'!G53</f>
        <v>2</v>
      </c>
      <c r="H53" s="1891">
        <f t="shared" si="0"/>
        <v>2</v>
      </c>
      <c r="I53" s="1891">
        <f>'Calculation (table 3.2)'!I53</f>
        <v>150</v>
      </c>
      <c r="J53" s="1892">
        <f t="shared" si="1"/>
        <v>150</v>
      </c>
      <c r="K53" s="1892">
        <f>'Calculation (table 3.2)'!K53</f>
        <v>150.0133327407934</v>
      </c>
      <c r="L53" s="1892">
        <f t="shared" si="2"/>
        <v>150.0133327407934</v>
      </c>
      <c r="M53" s="1893">
        <f>'Calculation (table 3.2)'!L53</f>
        <v>0</v>
      </c>
      <c r="N53" s="1894" t="str">
        <f t="shared" si="3"/>
        <v>NA</v>
      </c>
      <c r="O53" s="1892">
        <v>1.3012266617774629E-3</v>
      </c>
      <c r="P53" s="1892">
        <f t="shared" si="4"/>
        <v>1.3012266617774629E-3</v>
      </c>
      <c r="Q53" s="1890"/>
    </row>
    <row r="54" spans="1:17">
      <c r="A54" s="1889" t="s">
        <v>1978</v>
      </c>
      <c r="B54" s="1889" t="s">
        <v>2008</v>
      </c>
      <c r="C54" s="1890" t="s">
        <v>2009</v>
      </c>
      <c r="D54" s="1890" t="s">
        <v>2412</v>
      </c>
      <c r="E54" s="1891">
        <f>'Calculation (table 3.2)'!E54</f>
        <v>0</v>
      </c>
      <c r="F54" s="1891">
        <f>'Calculation (table 3.2)'!F54</f>
        <v>0</v>
      </c>
      <c r="G54" s="1891">
        <f>'Calculation (table 3.2)'!G54</f>
        <v>10</v>
      </c>
      <c r="H54" s="1891">
        <f t="shared" si="0"/>
        <v>10</v>
      </c>
      <c r="I54" s="1891">
        <f>'Calculation (table 3.2)'!I54</f>
        <v>1</v>
      </c>
      <c r="J54" s="1892">
        <f t="shared" si="1"/>
        <v>1</v>
      </c>
      <c r="K54" s="1892">
        <f>'Calculation (table 3.2)'!K54</f>
        <v>10.04987562112089</v>
      </c>
      <c r="L54" s="1892">
        <f t="shared" si="2"/>
        <v>10.04987562112089</v>
      </c>
      <c r="M54" s="1893">
        <f>'Calculation (table 3.2)'!L54</f>
        <v>0</v>
      </c>
      <c r="N54" s="1894" t="str">
        <f t="shared" si="3"/>
        <v>NA</v>
      </c>
      <c r="O54" s="1892">
        <v>0.10002898612377235</v>
      </c>
      <c r="P54" s="1892">
        <f t="shared" si="4"/>
        <v>0.10002898612377235</v>
      </c>
      <c r="Q54" s="1890"/>
    </row>
    <row r="55" spans="1:17">
      <c r="A55" s="1889" t="s">
        <v>1978</v>
      </c>
      <c r="B55" s="1889" t="s">
        <v>2008</v>
      </c>
      <c r="C55" s="1890" t="s">
        <v>2009</v>
      </c>
      <c r="D55" s="1890" t="s">
        <v>84</v>
      </c>
      <c r="E55" s="1891">
        <f>'Calculation (table 3.2)'!E55</f>
        <v>0</v>
      </c>
      <c r="F55" s="1891">
        <f>'Calculation (table 3.2)'!F55</f>
        <v>0</v>
      </c>
      <c r="G55" s="1891">
        <f>'Calculation (table 3.2)'!G55</f>
        <v>10</v>
      </c>
      <c r="H55" s="1891">
        <f t="shared" si="0"/>
        <v>10</v>
      </c>
      <c r="I55" s="1891">
        <f>'Calculation (table 3.2)'!I55</f>
        <v>55</v>
      </c>
      <c r="J55" s="1892">
        <f t="shared" si="1"/>
        <v>55</v>
      </c>
      <c r="K55" s="1892">
        <f>'Calculation (table 3.2)'!K55</f>
        <v>55.901699437494742</v>
      </c>
      <c r="L55" s="1892">
        <f t="shared" si="2"/>
        <v>55.901699437494742</v>
      </c>
      <c r="M55" s="1893">
        <f>'Calculation (table 3.2)'!L55</f>
        <v>0</v>
      </c>
      <c r="N55" s="1894" t="str">
        <f t="shared" si="3"/>
        <v>NA</v>
      </c>
      <c r="O55" s="1892">
        <v>4.7658278699426789E-3</v>
      </c>
      <c r="P55" s="1892">
        <f t="shared" si="4"/>
        <v>4.7658278699426789E-3</v>
      </c>
      <c r="Q55" s="1890"/>
    </row>
    <row r="56" spans="1:17">
      <c r="A56" s="1889" t="s">
        <v>1978</v>
      </c>
      <c r="B56" s="1889" t="s">
        <v>2008</v>
      </c>
      <c r="C56" s="1890" t="s">
        <v>2009</v>
      </c>
      <c r="D56" s="1890" t="s">
        <v>85</v>
      </c>
      <c r="E56" s="1891">
        <f>'Calculation (table 3.2)'!E56</f>
        <v>0</v>
      </c>
      <c r="F56" s="1891">
        <f>'Calculation (table 3.2)'!F56</f>
        <v>0</v>
      </c>
      <c r="G56" s="1891">
        <f>'Calculation (table 3.2)'!G56</f>
        <v>10</v>
      </c>
      <c r="H56" s="1891">
        <f t="shared" si="0"/>
        <v>10</v>
      </c>
      <c r="I56" s="1891">
        <f>'Calculation (table 3.2)'!I56</f>
        <v>110</v>
      </c>
      <c r="J56" s="1892">
        <f t="shared" si="1"/>
        <v>110</v>
      </c>
      <c r="K56" s="1892">
        <f>'Calculation (table 3.2)'!K56</f>
        <v>110.45361017187261</v>
      </c>
      <c r="L56" s="1892">
        <f t="shared" si="2"/>
        <v>110.45361017187261</v>
      </c>
      <c r="M56" s="1893">
        <f>'Calculation (table 3.2)'!L56</f>
        <v>0</v>
      </c>
      <c r="N56" s="1894" t="str">
        <f t="shared" si="3"/>
        <v>NA</v>
      </c>
      <c r="O56" s="1892">
        <v>7.7271100647166345E-3</v>
      </c>
      <c r="P56" s="1892">
        <f t="shared" si="4"/>
        <v>7.7271100647166345E-3</v>
      </c>
      <c r="Q56" s="1890"/>
    </row>
    <row r="57" spans="1:17">
      <c r="A57" s="1889" t="s">
        <v>1978</v>
      </c>
      <c r="B57" s="1889" t="s">
        <v>2008</v>
      </c>
      <c r="C57" s="1890" t="s">
        <v>2010</v>
      </c>
      <c r="D57" s="1890" t="s">
        <v>84</v>
      </c>
      <c r="E57" s="1891">
        <f>'Calculation (table 3.2)'!E57</f>
        <v>0</v>
      </c>
      <c r="F57" s="1891">
        <f>'Calculation (table 3.2)'!F57</f>
        <v>0</v>
      </c>
      <c r="G57" s="1891">
        <f>'Calculation (table 3.2)'!G57</f>
        <v>12.5</v>
      </c>
      <c r="H57" s="1891">
        <f t="shared" si="0"/>
        <v>12.5</v>
      </c>
      <c r="I57" s="1891">
        <f>'Calculation (table 3.2)'!I57</f>
        <v>60</v>
      </c>
      <c r="J57" s="1892">
        <f t="shared" si="1"/>
        <v>60</v>
      </c>
      <c r="K57" s="1892">
        <f>'Calculation (table 3.2)'!K57</f>
        <v>61.288253360656313</v>
      </c>
      <c r="L57" s="1892">
        <f t="shared" si="2"/>
        <v>61.288253360656313</v>
      </c>
      <c r="M57" s="1893">
        <f>'Calculation (table 3.2)'!L57</f>
        <v>0</v>
      </c>
      <c r="N57" s="1894" t="str">
        <f t="shared" si="3"/>
        <v>NA</v>
      </c>
      <c r="O57" s="1892">
        <v>2.221245377454619E-4</v>
      </c>
      <c r="P57" s="1892">
        <f t="shared" si="4"/>
        <v>2.221245377454619E-4</v>
      </c>
      <c r="Q57" s="1890"/>
    </row>
    <row r="58" spans="1:17">
      <c r="A58" s="1889" t="s">
        <v>1978</v>
      </c>
      <c r="B58" s="1889" t="s">
        <v>2008</v>
      </c>
      <c r="C58" s="1890" t="s">
        <v>2010</v>
      </c>
      <c r="D58" s="1890" t="s">
        <v>85</v>
      </c>
      <c r="E58" s="1891">
        <f>'Calculation (table 3.2)'!E58</f>
        <v>0</v>
      </c>
      <c r="F58" s="1891">
        <f>'Calculation (table 3.2)'!F58</f>
        <v>0</v>
      </c>
      <c r="G58" s="1891">
        <f>'Calculation (table 3.2)'!G58</f>
        <v>12.5</v>
      </c>
      <c r="H58" s="1891">
        <f t="shared" si="0"/>
        <v>12.5</v>
      </c>
      <c r="I58" s="1891">
        <f>'Calculation (table 3.2)'!I58</f>
        <v>130</v>
      </c>
      <c r="J58" s="1892">
        <f t="shared" si="1"/>
        <v>130</v>
      </c>
      <c r="K58" s="1892">
        <f>'Calculation (table 3.2)'!K58</f>
        <v>130.59957886608976</v>
      </c>
      <c r="L58" s="1892">
        <f t="shared" si="2"/>
        <v>130.59957886608976</v>
      </c>
      <c r="M58" s="1893">
        <f>'Calculation (table 3.2)'!L58</f>
        <v>0</v>
      </c>
      <c r="N58" s="1894" t="str">
        <f t="shared" si="3"/>
        <v>NA</v>
      </c>
      <c r="O58" s="1892">
        <v>1.1726861855859363E-4</v>
      </c>
      <c r="P58" s="1892">
        <f t="shared" si="4"/>
        <v>1.1726861855859363E-4</v>
      </c>
      <c r="Q58" s="1890"/>
    </row>
    <row r="59" spans="1:17">
      <c r="A59" s="1889" t="s">
        <v>1978</v>
      </c>
      <c r="B59" s="1889" t="s">
        <v>2011</v>
      </c>
      <c r="C59" s="1890" t="s">
        <v>2012</v>
      </c>
      <c r="D59" s="1890" t="s">
        <v>2412</v>
      </c>
      <c r="E59" s="1891">
        <f>'Calculation (table 3.2)'!E59</f>
        <v>0</v>
      </c>
      <c r="F59" s="1891">
        <f>'Calculation (table 3.2)'!F59</f>
        <v>0</v>
      </c>
      <c r="G59" s="1891">
        <f>'Calculation (table 3.2)'!G59</f>
        <v>20</v>
      </c>
      <c r="H59" s="1891">
        <f t="shared" si="0"/>
        <v>20</v>
      </c>
      <c r="I59" s="1891">
        <f>'Calculation (table 3.2)'!I59</f>
        <v>0.5</v>
      </c>
      <c r="J59" s="1892">
        <f t="shared" si="1"/>
        <v>0.5</v>
      </c>
      <c r="K59" s="1892">
        <f>'Calculation (table 3.2)'!K59</f>
        <v>20.006249023742555</v>
      </c>
      <c r="L59" s="1892">
        <f t="shared" si="2"/>
        <v>20.006249023742555</v>
      </c>
      <c r="M59" s="1893">
        <f>'Calculation (table 3.2)'!L59</f>
        <v>0</v>
      </c>
      <c r="N59" s="1894" t="str">
        <f t="shared" si="3"/>
        <v>NA</v>
      </c>
      <c r="O59" s="1892">
        <v>4.5237256587825564E-3</v>
      </c>
      <c r="P59" s="1892">
        <f t="shared" si="4"/>
        <v>4.5237256587825564E-3</v>
      </c>
      <c r="Q59" s="1890"/>
    </row>
    <row r="60" spans="1:17">
      <c r="A60" s="1889" t="s">
        <v>1978</v>
      </c>
      <c r="B60" s="1889" t="s">
        <v>2011</v>
      </c>
      <c r="C60" s="1890" t="s">
        <v>2012</v>
      </c>
      <c r="D60" s="1890" t="s">
        <v>84</v>
      </c>
      <c r="E60" s="1891">
        <f>'Calculation (table 3.2)'!E60</f>
        <v>0</v>
      </c>
      <c r="F60" s="1891">
        <f>'Calculation (table 3.2)'!F60</f>
        <v>0</v>
      </c>
      <c r="G60" s="1891">
        <f>'Calculation (table 3.2)'!G60</f>
        <v>20</v>
      </c>
      <c r="H60" s="1891">
        <f t="shared" si="0"/>
        <v>20</v>
      </c>
      <c r="I60" s="1891">
        <f>'Calculation (table 3.2)'!I60</f>
        <v>60</v>
      </c>
      <c r="J60" s="1892">
        <f t="shared" si="1"/>
        <v>60</v>
      </c>
      <c r="K60" s="1892">
        <f>'Calculation (table 3.2)'!K60</f>
        <v>63.245553203367585</v>
      </c>
      <c r="L60" s="1892">
        <f t="shared" si="2"/>
        <v>63.245553203367585</v>
      </c>
      <c r="M60" s="1893">
        <f>'Calculation (table 3.2)'!L60</f>
        <v>0</v>
      </c>
      <c r="N60" s="1894" t="str">
        <f t="shared" si="3"/>
        <v>NA</v>
      </c>
      <c r="O60" s="1892">
        <v>7.8704172195827883E-6</v>
      </c>
      <c r="P60" s="1892">
        <f t="shared" si="4"/>
        <v>7.8704172195827883E-6</v>
      </c>
      <c r="Q60" s="1890"/>
    </row>
    <row r="61" spans="1:17">
      <c r="A61" s="1889" t="s">
        <v>1978</v>
      </c>
      <c r="B61" s="1889" t="s">
        <v>2011</v>
      </c>
      <c r="C61" s="1890" t="s">
        <v>2012</v>
      </c>
      <c r="D61" s="1890" t="s">
        <v>85</v>
      </c>
      <c r="E61" s="1891">
        <f>'Calculation (table 3.2)'!E61</f>
        <v>0</v>
      </c>
      <c r="F61" s="1891">
        <f>'Calculation (table 3.2)'!F61</f>
        <v>0</v>
      </c>
      <c r="G61" s="1891">
        <f>'Calculation (table 3.2)'!G61</f>
        <v>20</v>
      </c>
      <c r="H61" s="1891">
        <f t="shared" si="0"/>
        <v>20</v>
      </c>
      <c r="I61" s="1891">
        <f>'Calculation (table 3.2)'!I61</f>
        <v>60</v>
      </c>
      <c r="J61" s="1892">
        <f t="shared" si="1"/>
        <v>60</v>
      </c>
      <c r="K61" s="1892">
        <f>'Calculation (table 3.2)'!K61</f>
        <v>63.245553203367585</v>
      </c>
      <c r="L61" s="1892">
        <f t="shared" si="2"/>
        <v>63.245553203367585</v>
      </c>
      <c r="M61" s="1893">
        <f>'Calculation (table 3.2)'!L61</f>
        <v>0</v>
      </c>
      <c r="N61" s="1894" t="str">
        <f t="shared" si="3"/>
        <v>NA</v>
      </c>
      <c r="O61" s="1892">
        <v>5.0971780551581429E-5</v>
      </c>
      <c r="P61" s="1892">
        <f t="shared" si="4"/>
        <v>5.0971780551581429E-5</v>
      </c>
      <c r="Q61" s="1890"/>
    </row>
    <row r="62" spans="1:17">
      <c r="A62" s="1889" t="s">
        <v>1978</v>
      </c>
      <c r="B62" s="1889" t="s">
        <v>2013</v>
      </c>
      <c r="C62" s="1890" t="s">
        <v>2014</v>
      </c>
      <c r="D62" s="1890" t="s">
        <v>2412</v>
      </c>
      <c r="E62" s="1891">
        <f>'Calculation (table 3.2)'!E62</f>
        <v>0</v>
      </c>
      <c r="F62" s="1891">
        <f>'Calculation (table 3.2)'!F62</f>
        <v>0</v>
      </c>
      <c r="G62" s="1891">
        <f>'Calculation (table 3.2)'!G62</f>
        <v>6.5</v>
      </c>
      <c r="H62" s="1891">
        <f t="shared" si="0"/>
        <v>6.5</v>
      </c>
      <c r="I62" s="1891">
        <f>'Calculation (table 3.2)'!I62</f>
        <v>0.7</v>
      </c>
      <c r="J62" s="1892">
        <f t="shared" si="1"/>
        <v>0.7</v>
      </c>
      <c r="K62" s="1892">
        <f>'Calculation (table 3.2)'!K62</f>
        <v>6.5375836514724615</v>
      </c>
      <c r="L62" s="1892">
        <f t="shared" si="2"/>
        <v>6.5375836514724615</v>
      </c>
      <c r="M62" s="1893">
        <f>'Calculation (table 3.2)'!L62</f>
        <v>0</v>
      </c>
      <c r="N62" s="1894" t="str">
        <f t="shared" si="3"/>
        <v>NA</v>
      </c>
      <c r="O62" s="1892">
        <v>0.53150381939517011</v>
      </c>
      <c r="P62" s="1892">
        <f t="shared" si="4"/>
        <v>0.53150381939517011</v>
      </c>
      <c r="Q62" s="1890"/>
    </row>
    <row r="63" spans="1:17">
      <c r="A63" s="1889" t="s">
        <v>1978</v>
      </c>
      <c r="B63" s="1889" t="s">
        <v>2013</v>
      </c>
      <c r="C63" s="1890" t="s">
        <v>2014</v>
      </c>
      <c r="D63" s="1890" t="s">
        <v>84</v>
      </c>
      <c r="E63" s="1891">
        <f>'Calculation (table 3.2)'!E63</f>
        <v>0</v>
      </c>
      <c r="F63" s="1891">
        <f>'Calculation (table 3.2)'!F63</f>
        <v>0</v>
      </c>
      <c r="G63" s="1891">
        <f>'Calculation (table 3.2)'!G63</f>
        <v>6.5</v>
      </c>
      <c r="H63" s="1891">
        <f t="shared" si="0"/>
        <v>6.5</v>
      </c>
      <c r="I63" s="1891">
        <f>'Calculation (table 3.2)'!I63</f>
        <v>25</v>
      </c>
      <c r="J63" s="1892">
        <f t="shared" si="1"/>
        <v>25</v>
      </c>
      <c r="K63" s="1892">
        <f>'Calculation (table 3.2)'!K63</f>
        <v>25.831182706178978</v>
      </c>
      <c r="L63" s="1892">
        <f t="shared" si="2"/>
        <v>25.831182706178978</v>
      </c>
      <c r="M63" s="1893">
        <f>'Calculation (table 3.2)'!L63</f>
        <v>0</v>
      </c>
      <c r="N63" s="1894" t="str">
        <f t="shared" si="3"/>
        <v>NA</v>
      </c>
      <c r="O63" s="1892">
        <v>1.031863732547807E-2</v>
      </c>
      <c r="P63" s="1892">
        <f t="shared" si="4"/>
        <v>1.031863732547807E-2</v>
      </c>
      <c r="Q63" s="1890"/>
    </row>
    <row r="64" spans="1:17">
      <c r="A64" s="1889" t="s">
        <v>1978</v>
      </c>
      <c r="B64" s="1889" t="s">
        <v>2013</v>
      </c>
      <c r="C64" s="1890" t="s">
        <v>2014</v>
      </c>
      <c r="D64" s="1890" t="s">
        <v>85</v>
      </c>
      <c r="E64" s="1891">
        <f>'Calculation (table 3.2)'!E64</f>
        <v>0</v>
      </c>
      <c r="F64" s="1891">
        <f>'Calculation (table 3.2)'!F64</f>
        <v>0</v>
      </c>
      <c r="G64" s="1891">
        <f>'Calculation (table 3.2)'!G64</f>
        <v>6.5</v>
      </c>
      <c r="H64" s="1891">
        <f t="shared" si="0"/>
        <v>6.5</v>
      </c>
      <c r="I64" s="1891">
        <f>'Calculation (table 3.2)'!I64</f>
        <v>40</v>
      </c>
      <c r="J64" s="1892">
        <f t="shared" si="1"/>
        <v>40</v>
      </c>
      <c r="K64" s="1892">
        <f>'Calculation (table 3.2)'!K64</f>
        <v>40.524683835904263</v>
      </c>
      <c r="L64" s="1892">
        <f t="shared" si="2"/>
        <v>40.524683835904263</v>
      </c>
      <c r="M64" s="1893">
        <f>'Calculation (table 3.2)'!L64</f>
        <v>0</v>
      </c>
      <c r="N64" s="1894" t="str">
        <f t="shared" si="3"/>
        <v>NA</v>
      </c>
      <c r="O64" s="1892">
        <v>2.3119874680005762E-2</v>
      </c>
      <c r="P64" s="1892">
        <f t="shared" si="4"/>
        <v>2.3119874680005762E-2</v>
      </c>
      <c r="Q64" s="1890"/>
    </row>
    <row r="65" spans="1:17">
      <c r="A65" s="1889" t="s">
        <v>1978</v>
      </c>
      <c r="B65" s="1889" t="s">
        <v>2013</v>
      </c>
      <c r="C65" s="1890" t="s">
        <v>2015</v>
      </c>
      <c r="D65" s="1890" t="s">
        <v>2412</v>
      </c>
      <c r="E65" s="1891">
        <f>'Calculation (table 3.2)'!E65</f>
        <v>0</v>
      </c>
      <c r="F65" s="1891">
        <f>'Calculation (table 3.2)'!F65</f>
        <v>0</v>
      </c>
      <c r="G65" s="1891">
        <f>'Calculation (table 3.2)'!G65</f>
        <v>18</v>
      </c>
      <c r="H65" s="1891">
        <f t="shared" si="0"/>
        <v>18</v>
      </c>
      <c r="I65" s="1891">
        <f>'Calculation (table 3.2)'!I65</f>
        <v>0.9</v>
      </c>
      <c r="J65" s="1892">
        <f t="shared" si="1"/>
        <v>0.9</v>
      </c>
      <c r="K65" s="1892">
        <f>'Calculation (table 3.2)'!K65</f>
        <v>18.022485955050708</v>
      </c>
      <c r="L65" s="1892">
        <f t="shared" si="2"/>
        <v>18.022485955050708</v>
      </c>
      <c r="M65" s="1893">
        <f>'Calculation (table 3.2)'!L65</f>
        <v>0</v>
      </c>
      <c r="N65" s="1894" t="str">
        <f t="shared" si="3"/>
        <v>NA</v>
      </c>
      <c r="O65" s="1892">
        <v>4.1482092143272017E-3</v>
      </c>
      <c r="P65" s="1892">
        <f t="shared" si="4"/>
        <v>4.1482092143272017E-3</v>
      </c>
      <c r="Q65" s="1890"/>
    </row>
    <row r="66" spans="1:17">
      <c r="A66" s="1889" t="s">
        <v>1978</v>
      </c>
      <c r="B66" s="1889" t="s">
        <v>2013</v>
      </c>
      <c r="C66" s="1890" t="s">
        <v>2015</v>
      </c>
      <c r="D66" s="1890" t="s">
        <v>84</v>
      </c>
      <c r="E66" s="1891">
        <f>'Calculation (table 3.2)'!E66</f>
        <v>0</v>
      </c>
      <c r="F66" s="1891">
        <f>'Calculation (table 3.2)'!F66</f>
        <v>0</v>
      </c>
      <c r="G66" s="1891">
        <f>'Calculation (table 3.2)'!G66</f>
        <v>18</v>
      </c>
      <c r="H66" s="1891">
        <f t="shared" si="0"/>
        <v>18</v>
      </c>
      <c r="I66" s="1891">
        <f>'Calculation (table 3.2)'!I66</f>
        <v>65</v>
      </c>
      <c r="J66" s="1892">
        <f t="shared" si="1"/>
        <v>65</v>
      </c>
      <c r="K66" s="1892">
        <f>'Calculation (table 3.2)'!K66</f>
        <v>67.446274915668994</v>
      </c>
      <c r="L66" s="1892">
        <f t="shared" si="2"/>
        <v>67.446274915668994</v>
      </c>
      <c r="M66" s="1893">
        <f>'Calculation (table 3.2)'!L66</f>
        <v>0</v>
      </c>
      <c r="N66" s="1894" t="str">
        <f t="shared" si="3"/>
        <v>NA</v>
      </c>
      <c r="O66" s="1892">
        <v>1.6597071941199754E-3</v>
      </c>
      <c r="P66" s="1892">
        <f t="shared" si="4"/>
        <v>1.6597071941199754E-3</v>
      </c>
      <c r="Q66" s="1890"/>
    </row>
    <row r="67" spans="1:17">
      <c r="A67" s="1889" t="s">
        <v>1978</v>
      </c>
      <c r="B67" s="1889" t="s">
        <v>2013</v>
      </c>
      <c r="C67" s="1890" t="s">
        <v>2015</v>
      </c>
      <c r="D67" s="1890" t="s">
        <v>85</v>
      </c>
      <c r="E67" s="1891">
        <f>'Calculation (table 3.2)'!E67</f>
        <v>0</v>
      </c>
      <c r="F67" s="1891">
        <f>'Calculation (table 3.2)'!F67</f>
        <v>0</v>
      </c>
      <c r="G67" s="1891">
        <f>'Calculation (table 3.2)'!G67</f>
        <v>18</v>
      </c>
      <c r="H67" s="1891">
        <f t="shared" si="0"/>
        <v>18</v>
      </c>
      <c r="I67" s="1891">
        <f>'Calculation (table 3.2)'!I67</f>
        <v>55</v>
      </c>
      <c r="J67" s="1892">
        <f t="shared" si="1"/>
        <v>55</v>
      </c>
      <c r="K67" s="1892">
        <f>'Calculation (table 3.2)'!K67</f>
        <v>57.870545184921149</v>
      </c>
      <c r="L67" s="1892">
        <f t="shared" si="2"/>
        <v>57.870545184921149</v>
      </c>
      <c r="M67" s="1893">
        <f>'Calculation (table 3.2)'!L67</f>
        <v>0</v>
      </c>
      <c r="N67" s="1894" t="str">
        <f t="shared" si="3"/>
        <v>NA</v>
      </c>
      <c r="O67" s="1892">
        <v>2.1580091774632193E-4</v>
      </c>
      <c r="P67" s="1892">
        <f t="shared" si="4"/>
        <v>2.1580091774632193E-4</v>
      </c>
      <c r="Q67" s="1890"/>
    </row>
    <row r="68" spans="1:17">
      <c r="A68" s="1889" t="s">
        <v>1978</v>
      </c>
      <c r="B68" s="1889" t="s">
        <v>2013</v>
      </c>
      <c r="C68" s="1890" t="s">
        <v>2016</v>
      </c>
      <c r="D68" s="1890" t="s">
        <v>2412</v>
      </c>
      <c r="E68" s="1891">
        <f>'Calculation (table 3.2)'!E68</f>
        <v>0</v>
      </c>
      <c r="F68" s="1891">
        <f>'Calculation (table 3.2)'!F68</f>
        <v>0</v>
      </c>
      <c r="G68" s="1891">
        <f>'Calculation (table 3.2)'!G68</f>
        <v>7</v>
      </c>
      <c r="H68" s="1891">
        <f t="shared" ref="H68:H131" si="5">G68</f>
        <v>7</v>
      </c>
      <c r="I68" s="1891">
        <f>'Calculation (table 3.2)'!I68</f>
        <v>0.34864134164192551</v>
      </c>
      <c r="J68" s="1892">
        <f t="shared" ref="J68:J131" si="6">I68</f>
        <v>0.34864134164192551</v>
      </c>
      <c r="K68" s="1892">
        <f>'Calculation (table 3.2)'!K68</f>
        <v>7.0086768212767439</v>
      </c>
      <c r="L68" s="1892">
        <f t="shared" ref="L68:L131" si="7">K68</f>
        <v>7.0086768212767439</v>
      </c>
      <c r="M68" s="1893">
        <f>'Calculation (table 3.2)'!L68</f>
        <v>0</v>
      </c>
      <c r="N68" s="1894" t="str">
        <f t="shared" ref="N68:N131" si="8">IF(E68=0,"NA",100*(F68-E68)/E68)</f>
        <v>NA</v>
      </c>
      <c r="O68" s="1892">
        <v>2.3787244855103327E-2</v>
      </c>
      <c r="P68" s="1892">
        <f t="shared" ref="P68:P79" si="9">O68</f>
        <v>2.3787244855103327E-2</v>
      </c>
      <c r="Q68" s="1890"/>
    </row>
    <row r="69" spans="1:17">
      <c r="A69" s="1889" t="s">
        <v>1978</v>
      </c>
      <c r="B69" s="1889" t="s">
        <v>2013</v>
      </c>
      <c r="C69" s="1890" t="s">
        <v>2016</v>
      </c>
      <c r="D69" s="1890" t="s">
        <v>84</v>
      </c>
      <c r="E69" s="1891">
        <f>'Calculation (table 3.2)'!E69</f>
        <v>0</v>
      </c>
      <c r="F69" s="1891">
        <f>'Calculation (table 3.2)'!F69</f>
        <v>0</v>
      </c>
      <c r="G69" s="1891">
        <f>'Calculation (table 3.2)'!G69</f>
        <v>7</v>
      </c>
      <c r="H69" s="1891">
        <f t="shared" si="5"/>
        <v>7</v>
      </c>
      <c r="I69" s="1891">
        <f>'Calculation (table 3.2)'!I69</f>
        <v>40</v>
      </c>
      <c r="J69" s="1892">
        <f t="shared" si="6"/>
        <v>40</v>
      </c>
      <c r="K69" s="1892">
        <f>'Calculation (table 3.2)'!K69</f>
        <v>40.607881008493905</v>
      </c>
      <c r="L69" s="1892">
        <f t="shared" si="7"/>
        <v>40.607881008493905</v>
      </c>
      <c r="M69" s="1893">
        <f>'Calculation (table 3.2)'!L69</f>
        <v>0</v>
      </c>
      <c r="N69" s="1894" t="str">
        <f t="shared" si="8"/>
        <v>NA</v>
      </c>
      <c r="O69" s="1892">
        <v>3.8927611889911103E-5</v>
      </c>
      <c r="P69" s="1892">
        <f t="shared" si="9"/>
        <v>3.8927611889911103E-5</v>
      </c>
      <c r="Q69" s="1890"/>
    </row>
    <row r="70" spans="1:17">
      <c r="A70" s="1889" t="s">
        <v>1978</v>
      </c>
      <c r="B70" s="1889" t="s">
        <v>2013</v>
      </c>
      <c r="C70" s="1890" t="s">
        <v>2016</v>
      </c>
      <c r="D70" s="1890" t="s">
        <v>85</v>
      </c>
      <c r="E70" s="1891">
        <f>'Calculation (table 3.2)'!E70</f>
        <v>0</v>
      </c>
      <c r="F70" s="1891">
        <f>'Calculation (table 3.2)'!F70</f>
        <v>0</v>
      </c>
      <c r="G70" s="1891">
        <f>'Calculation (table 3.2)'!G70</f>
        <v>7</v>
      </c>
      <c r="H70" s="1891">
        <f t="shared" si="5"/>
        <v>7</v>
      </c>
      <c r="I70" s="1891">
        <f>'Calculation (table 3.2)'!I70</f>
        <v>40</v>
      </c>
      <c r="J70" s="1892">
        <f t="shared" si="6"/>
        <v>40</v>
      </c>
      <c r="K70" s="1892">
        <f>'Calculation (table 3.2)'!K70</f>
        <v>40.607881008493905</v>
      </c>
      <c r="L70" s="1892">
        <f t="shared" si="7"/>
        <v>40.607881008493905</v>
      </c>
      <c r="M70" s="1893">
        <f>'Calculation (table 3.2)'!L70</f>
        <v>0</v>
      </c>
      <c r="N70" s="1894" t="str">
        <f t="shared" si="8"/>
        <v>NA</v>
      </c>
      <c r="O70" s="1892">
        <v>3.273568920018592E-4</v>
      </c>
      <c r="P70" s="1892">
        <f t="shared" si="9"/>
        <v>3.273568920018592E-4</v>
      </c>
      <c r="Q70" s="1890"/>
    </row>
    <row r="71" spans="1:17">
      <c r="A71" s="1889" t="s">
        <v>1978</v>
      </c>
      <c r="B71" s="1889" t="s">
        <v>2013</v>
      </c>
      <c r="C71" s="1890" t="s">
        <v>2017</v>
      </c>
      <c r="D71" s="1890" t="s">
        <v>2412</v>
      </c>
      <c r="E71" s="1891">
        <f>'Calculation (table 3.2)'!E71</f>
        <v>0</v>
      </c>
      <c r="F71" s="1891">
        <f>'Calculation (table 3.2)'!F71</f>
        <v>0</v>
      </c>
      <c r="G71" s="1891">
        <f>'Calculation (table 3.2)'!G71</f>
        <v>10</v>
      </c>
      <c r="H71" s="1891">
        <f t="shared" si="5"/>
        <v>10</v>
      </c>
      <c r="I71" s="1891">
        <f>'Calculation (table 3.2)'!I71</f>
        <v>15</v>
      </c>
      <c r="J71" s="1892">
        <f t="shared" si="6"/>
        <v>15</v>
      </c>
      <c r="K71" s="1892">
        <f>'Calculation (table 3.2)'!K71</f>
        <v>18.027756377319946</v>
      </c>
      <c r="L71" s="1892">
        <f t="shared" si="7"/>
        <v>18.027756377319946</v>
      </c>
      <c r="M71" s="1893">
        <f>'Calculation (table 3.2)'!L71</f>
        <v>0</v>
      </c>
      <c r="N71" s="1894" t="str">
        <f t="shared" si="8"/>
        <v>NA</v>
      </c>
      <c r="O71" s="1892">
        <v>0</v>
      </c>
      <c r="P71" s="1892">
        <f t="shared" si="9"/>
        <v>0</v>
      </c>
      <c r="Q71" s="1890"/>
    </row>
    <row r="72" spans="1:17">
      <c r="A72" s="1889" t="s">
        <v>1978</v>
      </c>
      <c r="B72" s="1889" t="s">
        <v>2013</v>
      </c>
      <c r="C72" s="1890" t="s">
        <v>2017</v>
      </c>
      <c r="D72" s="1890" t="s">
        <v>84</v>
      </c>
      <c r="E72" s="1891">
        <f>'Calculation (table 3.2)'!E72</f>
        <v>0</v>
      </c>
      <c r="F72" s="1891">
        <f>'Calculation (table 3.2)'!F72</f>
        <v>0</v>
      </c>
      <c r="G72" s="1891">
        <f>'Calculation (table 3.2)'!G72</f>
        <v>10</v>
      </c>
      <c r="H72" s="1891">
        <f t="shared" si="5"/>
        <v>10</v>
      </c>
      <c r="I72" s="1891">
        <f>'Calculation (table 3.2)'!I72</f>
        <v>60</v>
      </c>
      <c r="J72" s="1892">
        <f t="shared" si="6"/>
        <v>60</v>
      </c>
      <c r="K72" s="1892">
        <f>'Calculation (table 3.2)'!K72</f>
        <v>60.827625302982199</v>
      </c>
      <c r="L72" s="1892">
        <f t="shared" si="7"/>
        <v>60.827625302982199</v>
      </c>
      <c r="M72" s="1893">
        <f>'Calculation (table 3.2)'!L72</f>
        <v>0</v>
      </c>
      <c r="N72" s="1894" t="str">
        <f t="shared" si="8"/>
        <v>NA</v>
      </c>
      <c r="O72" s="1892">
        <v>0</v>
      </c>
      <c r="P72" s="1892">
        <f t="shared" si="9"/>
        <v>0</v>
      </c>
      <c r="Q72" s="1890"/>
    </row>
    <row r="73" spans="1:17">
      <c r="A73" s="1889" t="s">
        <v>1978</v>
      </c>
      <c r="B73" s="1889" t="s">
        <v>2013</v>
      </c>
      <c r="C73" s="1890" t="s">
        <v>2017</v>
      </c>
      <c r="D73" s="1890" t="s">
        <v>85</v>
      </c>
      <c r="E73" s="1891">
        <f>'Calculation (table 3.2)'!E73</f>
        <v>0</v>
      </c>
      <c r="F73" s="1891">
        <f>'Calculation (table 3.2)'!F73</f>
        <v>0</v>
      </c>
      <c r="G73" s="1891">
        <f>'Calculation (table 3.2)'!G73</f>
        <v>10</v>
      </c>
      <c r="H73" s="1891">
        <f t="shared" si="5"/>
        <v>10</v>
      </c>
      <c r="I73" s="1891">
        <f>'Calculation (table 3.2)'!I73</f>
        <v>60</v>
      </c>
      <c r="J73" s="1892">
        <f t="shared" si="6"/>
        <v>60</v>
      </c>
      <c r="K73" s="1892">
        <f>'Calculation (table 3.2)'!K73</f>
        <v>60.827625302982199</v>
      </c>
      <c r="L73" s="1892">
        <f t="shared" si="7"/>
        <v>60.827625302982199</v>
      </c>
      <c r="M73" s="1893">
        <f>'Calculation (table 3.2)'!L73</f>
        <v>0</v>
      </c>
      <c r="N73" s="1894" t="str">
        <f t="shared" si="8"/>
        <v>NA</v>
      </c>
      <c r="O73" s="1892">
        <v>0</v>
      </c>
      <c r="P73" s="1892">
        <f t="shared" si="9"/>
        <v>0</v>
      </c>
      <c r="Q73" s="1890"/>
    </row>
    <row r="74" spans="1:17">
      <c r="A74" s="1889" t="s">
        <v>1978</v>
      </c>
      <c r="B74" s="1889" t="s">
        <v>2013</v>
      </c>
      <c r="C74" s="1890" t="s">
        <v>2018</v>
      </c>
      <c r="D74" s="1890" t="s">
        <v>2412</v>
      </c>
      <c r="E74" s="1891">
        <f>'Calculation (table 3.2)'!E74</f>
        <v>0</v>
      </c>
      <c r="F74" s="1891">
        <f>'Calculation (table 3.2)'!F74</f>
        <v>0</v>
      </c>
      <c r="G74" s="1891">
        <f>'Calculation (table 3.2)'!G74</f>
        <v>8.5</v>
      </c>
      <c r="H74" s="1891">
        <f t="shared" si="5"/>
        <v>8.5</v>
      </c>
      <c r="I74" s="1891">
        <f>'Calculation (table 3.2)'!I74</f>
        <v>1.7</v>
      </c>
      <c r="J74" s="1892">
        <f t="shared" si="6"/>
        <v>1.7</v>
      </c>
      <c r="K74" s="1892">
        <f>'Calculation (table 3.2)'!K74</f>
        <v>8.6683331731077349</v>
      </c>
      <c r="L74" s="1892">
        <f t="shared" si="7"/>
        <v>8.6683331731077349</v>
      </c>
      <c r="M74" s="1893">
        <f>'Calculation (table 3.2)'!L74</f>
        <v>0</v>
      </c>
      <c r="N74" s="1894" t="str">
        <f t="shared" si="8"/>
        <v>NA</v>
      </c>
      <c r="O74" s="1892">
        <v>4.7884667130393507E-2</v>
      </c>
      <c r="P74" s="1892">
        <f t="shared" si="9"/>
        <v>4.7884667130393507E-2</v>
      </c>
      <c r="Q74" s="1890"/>
    </row>
    <row r="75" spans="1:17">
      <c r="A75" s="1889" t="s">
        <v>1978</v>
      </c>
      <c r="B75" s="1889" t="s">
        <v>2013</v>
      </c>
      <c r="C75" s="1890" t="s">
        <v>2018</v>
      </c>
      <c r="D75" s="1890" t="s">
        <v>84</v>
      </c>
      <c r="E75" s="1891">
        <f>'Calculation (table 3.2)'!E75</f>
        <v>0</v>
      </c>
      <c r="F75" s="1891">
        <f>'Calculation (table 3.2)'!F75</f>
        <v>0</v>
      </c>
      <c r="G75" s="1891">
        <f>'Calculation (table 3.2)'!G75</f>
        <v>8.5</v>
      </c>
      <c r="H75" s="1891">
        <f t="shared" si="5"/>
        <v>8.5</v>
      </c>
      <c r="I75" s="1891">
        <f>'Calculation (table 3.2)'!I75</f>
        <v>130</v>
      </c>
      <c r="J75" s="1892">
        <f t="shared" si="6"/>
        <v>130</v>
      </c>
      <c r="K75" s="1892">
        <f>'Calculation (table 3.2)'!K75</f>
        <v>130.27758824909219</v>
      </c>
      <c r="L75" s="1892">
        <f t="shared" si="7"/>
        <v>130.27758824909219</v>
      </c>
      <c r="M75" s="1893">
        <f>'Calculation (table 3.2)'!L75</f>
        <v>0</v>
      </c>
      <c r="N75" s="1894" t="str">
        <f t="shared" si="8"/>
        <v>NA</v>
      </c>
      <c r="O75" s="1892">
        <v>4.3484897203831243E-3</v>
      </c>
      <c r="P75" s="1892">
        <f t="shared" si="9"/>
        <v>4.3484897203831243E-3</v>
      </c>
      <c r="Q75" s="1890"/>
    </row>
    <row r="76" spans="1:17">
      <c r="A76" s="1889" t="s">
        <v>1978</v>
      </c>
      <c r="B76" s="1889" t="s">
        <v>2013</v>
      </c>
      <c r="C76" s="1890" t="s">
        <v>2018</v>
      </c>
      <c r="D76" s="1890" t="s">
        <v>85</v>
      </c>
      <c r="E76" s="1891">
        <f>'Calculation (table 3.2)'!E76</f>
        <v>0</v>
      </c>
      <c r="F76" s="1891">
        <f>'Calculation (table 3.2)'!F76</f>
        <v>0</v>
      </c>
      <c r="G76" s="1891">
        <f>'Calculation (table 3.2)'!G76</f>
        <v>8.5</v>
      </c>
      <c r="H76" s="1891">
        <f t="shared" si="5"/>
        <v>8.5</v>
      </c>
      <c r="I76" s="1891">
        <f>'Calculation (table 3.2)'!I76</f>
        <v>130</v>
      </c>
      <c r="J76" s="1892">
        <f t="shared" si="6"/>
        <v>130</v>
      </c>
      <c r="K76" s="1892">
        <f>'Calculation (table 3.2)'!K76</f>
        <v>130.27758824909219</v>
      </c>
      <c r="L76" s="1892">
        <f t="shared" si="7"/>
        <v>130.27758824909219</v>
      </c>
      <c r="M76" s="1893">
        <f>'Calculation (table 3.2)'!L76</f>
        <v>0</v>
      </c>
      <c r="N76" s="1894" t="str">
        <f t="shared" si="8"/>
        <v>NA</v>
      </c>
      <c r="O76" s="1892">
        <v>4.0180868752117552E-3</v>
      </c>
      <c r="P76" s="1892">
        <f t="shared" si="9"/>
        <v>4.0180868752117552E-3</v>
      </c>
      <c r="Q76" s="1890"/>
    </row>
    <row r="77" spans="1:17">
      <c r="A77" s="1889" t="s">
        <v>1978</v>
      </c>
      <c r="B77" s="1889" t="s">
        <v>2013</v>
      </c>
      <c r="C77" s="1890" t="s">
        <v>2019</v>
      </c>
      <c r="D77" s="1890" t="s">
        <v>84</v>
      </c>
      <c r="E77" s="1891">
        <f>'Calculation (table 3.2)'!E77</f>
        <v>0</v>
      </c>
      <c r="F77" s="1891">
        <f>'Calculation (table 3.2)'!F77</f>
        <v>0</v>
      </c>
      <c r="G77" s="1891">
        <f>'Calculation (table 3.2)'!G77</f>
        <v>17</v>
      </c>
      <c r="H77" s="1891">
        <f t="shared" si="5"/>
        <v>17</v>
      </c>
      <c r="I77" s="1891">
        <f>'Calculation (table 3.2)'!I77</f>
        <v>140</v>
      </c>
      <c r="J77" s="1892">
        <f t="shared" si="6"/>
        <v>140</v>
      </c>
      <c r="K77" s="1892">
        <f>'Calculation (table 3.2)'!K77</f>
        <v>141.02836594104039</v>
      </c>
      <c r="L77" s="1892">
        <f t="shared" si="7"/>
        <v>141.02836594104039</v>
      </c>
      <c r="M77" s="1893">
        <f>'Calculation (table 3.2)'!L77</f>
        <v>0</v>
      </c>
      <c r="N77" s="1894" t="str">
        <f t="shared" si="8"/>
        <v>NA</v>
      </c>
      <c r="O77" s="1892">
        <v>0.17121193762530287</v>
      </c>
      <c r="P77" s="1892">
        <f t="shared" si="9"/>
        <v>0.17121193762530287</v>
      </c>
      <c r="Q77" s="1890"/>
    </row>
    <row r="78" spans="1:17">
      <c r="A78" s="1889" t="s">
        <v>1978</v>
      </c>
      <c r="B78" s="1889" t="s">
        <v>2013</v>
      </c>
      <c r="C78" s="1890" t="s">
        <v>2019</v>
      </c>
      <c r="D78" s="1890" t="s">
        <v>85</v>
      </c>
      <c r="E78" s="1891">
        <f>'Calculation (table 3.2)'!E78</f>
        <v>0</v>
      </c>
      <c r="F78" s="1891">
        <f>'Calculation (table 3.2)'!F78</f>
        <v>0</v>
      </c>
      <c r="G78" s="1891">
        <f>'Calculation (table 3.2)'!G78</f>
        <v>17</v>
      </c>
      <c r="H78" s="1891">
        <f t="shared" si="5"/>
        <v>17</v>
      </c>
      <c r="I78" s="1891">
        <f>'Calculation (table 3.2)'!I78</f>
        <v>160</v>
      </c>
      <c r="J78" s="1892">
        <f t="shared" si="6"/>
        <v>160</v>
      </c>
      <c r="K78" s="1892">
        <f>'Calculation (table 3.2)'!K78</f>
        <v>160.90059042775448</v>
      </c>
      <c r="L78" s="1892">
        <f t="shared" si="7"/>
        <v>160.90059042775448</v>
      </c>
      <c r="M78" s="1893">
        <f>'Calculation (table 3.2)'!L78</f>
        <v>0</v>
      </c>
      <c r="N78" s="1894" t="str">
        <f t="shared" si="8"/>
        <v>NA</v>
      </c>
      <c r="O78" s="1892">
        <v>6.6994468804886118E-2</v>
      </c>
      <c r="P78" s="1892">
        <f t="shared" si="9"/>
        <v>6.6994468804886118E-2</v>
      </c>
      <c r="Q78" s="1890"/>
    </row>
    <row r="79" spans="1:17">
      <c r="A79" s="1889" t="s">
        <v>1978</v>
      </c>
      <c r="B79" s="1889" t="s">
        <v>2020</v>
      </c>
      <c r="C79" s="1890" t="s">
        <v>2021</v>
      </c>
      <c r="D79" s="1890" t="s">
        <v>2412</v>
      </c>
      <c r="E79" s="1891">
        <f>'Calculation (table 3.2)'!E79</f>
        <v>0</v>
      </c>
      <c r="F79" s="1891">
        <f>'Calculation (table 3.2)'!F79</f>
        <v>0</v>
      </c>
      <c r="G79" s="1891">
        <f>'Calculation (table 3.2)'!G79</f>
        <v>15</v>
      </c>
      <c r="H79" s="1891">
        <f t="shared" si="5"/>
        <v>15</v>
      </c>
      <c r="I79" s="1891">
        <f>'Calculation (table 3.2)'!I79</f>
        <v>1.7</v>
      </c>
      <c r="J79" s="1892">
        <f t="shared" si="6"/>
        <v>1.7</v>
      </c>
      <c r="K79" s="1892">
        <f>'Calculation (table 3.2)'!K79</f>
        <v>15.09602596712128</v>
      </c>
      <c r="L79" s="1892">
        <f t="shared" si="7"/>
        <v>15.09602596712128</v>
      </c>
      <c r="M79" s="1893">
        <f>'Calculation (table 3.2)'!L79</f>
        <v>0</v>
      </c>
      <c r="N79" s="1894" t="str">
        <f t="shared" si="8"/>
        <v>NA</v>
      </c>
      <c r="O79" s="1892">
        <v>0.31674226372813308</v>
      </c>
      <c r="P79" s="1892">
        <f t="shared" si="9"/>
        <v>0.31674226372813308</v>
      </c>
      <c r="Q79" s="1890"/>
    </row>
    <row r="80" spans="1:17">
      <c r="A80" s="1889" t="s">
        <v>1978</v>
      </c>
      <c r="B80" s="1889" t="s">
        <v>2020</v>
      </c>
      <c r="C80" s="1890" t="s">
        <v>2021</v>
      </c>
      <c r="D80" s="1890" t="s">
        <v>84</v>
      </c>
      <c r="E80" s="1891">
        <f>'Calculation (table 3.2)'!E80</f>
        <v>0</v>
      </c>
      <c r="F80" s="1891">
        <f>'Calculation (table 3.2)'!F80</f>
        <v>0</v>
      </c>
      <c r="G80" s="1891">
        <f>'Calculation (table 3.2)'!G80</f>
        <v>15</v>
      </c>
      <c r="H80" s="1891">
        <f t="shared" si="5"/>
        <v>15</v>
      </c>
      <c r="I80" s="1891">
        <f>'Calculation (table 3.2)'!I80</f>
        <v>45</v>
      </c>
      <c r="J80" s="1892">
        <f t="shared" si="6"/>
        <v>45</v>
      </c>
      <c r="K80" s="1892">
        <f>'Calculation (table 3.2)'!K80</f>
        <v>47.434164902525687</v>
      </c>
      <c r="L80" s="1892">
        <f t="shared" si="7"/>
        <v>47.434164902525687</v>
      </c>
      <c r="M80" s="1893">
        <f>'Calculation (table 3.2)'!L80</f>
        <v>0</v>
      </c>
      <c r="N80" s="1894" t="str">
        <f t="shared" si="8"/>
        <v>NA</v>
      </c>
      <c r="O80" s="1892">
        <v>7.0223701686965734E-4</v>
      </c>
      <c r="P80" s="1892">
        <f>O80</f>
        <v>7.0223701686965734E-4</v>
      </c>
      <c r="Q80" s="1890"/>
    </row>
    <row r="81" spans="1:17">
      <c r="A81" s="1889" t="s">
        <v>1978</v>
      </c>
      <c r="B81" s="1889" t="s">
        <v>2020</v>
      </c>
      <c r="C81" s="1890" t="s">
        <v>2021</v>
      </c>
      <c r="D81" s="1890" t="s">
        <v>85</v>
      </c>
      <c r="E81" s="1891">
        <f>'Calculation (table 3.2)'!E81</f>
        <v>0</v>
      </c>
      <c r="F81" s="1891">
        <f>'Calculation (table 3.2)'!F81</f>
        <v>0</v>
      </c>
      <c r="G81" s="1891">
        <f>'Calculation (table 3.2)'!G81</f>
        <v>15</v>
      </c>
      <c r="H81" s="1891">
        <f t="shared" si="5"/>
        <v>15</v>
      </c>
      <c r="I81" s="1891">
        <f>'Calculation (table 3.2)'!I81</f>
        <v>50</v>
      </c>
      <c r="J81" s="1892">
        <f t="shared" si="6"/>
        <v>50</v>
      </c>
      <c r="K81" s="1892">
        <f>'Calculation (table 3.2)'!K81</f>
        <v>52.201532544552748</v>
      </c>
      <c r="L81" s="1892">
        <f t="shared" si="7"/>
        <v>52.201532544552748</v>
      </c>
      <c r="M81" s="1893">
        <f>'Calculation (table 3.2)'!L81</f>
        <v>0</v>
      </c>
      <c r="N81" s="1894" t="str">
        <f t="shared" si="8"/>
        <v>NA</v>
      </c>
      <c r="O81" s="1892">
        <v>2.7065219277494414E-3</v>
      </c>
      <c r="P81" s="1892">
        <f t="shared" ref="P81:P118" si="10">O81</f>
        <v>2.7065219277494414E-3</v>
      </c>
      <c r="Q81" s="1890"/>
    </row>
    <row r="82" spans="1:17">
      <c r="A82" s="1889" t="s">
        <v>1978</v>
      </c>
      <c r="B82" s="1889" t="s">
        <v>2020</v>
      </c>
      <c r="C82" s="1890" t="s">
        <v>2022</v>
      </c>
      <c r="D82" s="1890" t="s">
        <v>2412</v>
      </c>
      <c r="E82" s="1891">
        <f>'Calculation (table 3.2)'!E82</f>
        <v>0</v>
      </c>
      <c r="F82" s="1891">
        <f>'Calculation (table 3.2)'!F82</f>
        <v>0</v>
      </c>
      <c r="G82" s="1891">
        <f>'Calculation (table 3.2)'!G82</f>
        <v>20</v>
      </c>
      <c r="H82" s="1891">
        <f t="shared" si="5"/>
        <v>20</v>
      </c>
      <c r="I82" s="1891">
        <f>'Calculation (table 3.2)'!I82</f>
        <v>1</v>
      </c>
      <c r="J82" s="1892">
        <f t="shared" si="6"/>
        <v>1</v>
      </c>
      <c r="K82" s="1892">
        <f>'Calculation (table 3.2)'!K82</f>
        <v>20.024984394500787</v>
      </c>
      <c r="L82" s="1892">
        <f t="shared" si="7"/>
        <v>20.024984394500787</v>
      </c>
      <c r="M82" s="1893">
        <f>'Calculation (table 3.2)'!L82</f>
        <v>0</v>
      </c>
      <c r="N82" s="1894" t="str">
        <f t="shared" si="8"/>
        <v>NA</v>
      </c>
      <c r="O82" s="1892">
        <v>0</v>
      </c>
      <c r="P82" s="1892">
        <f t="shared" si="10"/>
        <v>0</v>
      </c>
      <c r="Q82" s="1890"/>
    </row>
    <row r="83" spans="1:17">
      <c r="A83" s="1889" t="s">
        <v>1978</v>
      </c>
      <c r="B83" s="1889" t="s">
        <v>2020</v>
      </c>
      <c r="C83" s="1890" t="s">
        <v>2022</v>
      </c>
      <c r="D83" s="1890" t="s">
        <v>84</v>
      </c>
      <c r="E83" s="1891">
        <f>'Calculation (table 3.2)'!E83</f>
        <v>0</v>
      </c>
      <c r="F83" s="1891">
        <f>'Calculation (table 3.2)'!F83</f>
        <v>0</v>
      </c>
      <c r="G83" s="1891">
        <f>'Calculation (table 3.2)'!G83</f>
        <v>20</v>
      </c>
      <c r="H83" s="1891">
        <f t="shared" si="5"/>
        <v>20</v>
      </c>
      <c r="I83" s="1891">
        <f>'Calculation (table 3.2)'!I83</f>
        <v>60</v>
      </c>
      <c r="J83" s="1892">
        <f t="shared" si="6"/>
        <v>60</v>
      </c>
      <c r="K83" s="1892">
        <f>'Calculation (table 3.2)'!K83</f>
        <v>63.245553203367585</v>
      </c>
      <c r="L83" s="1892">
        <f t="shared" si="7"/>
        <v>63.245553203367585</v>
      </c>
      <c r="M83" s="1893">
        <f>'Calculation (table 3.2)'!L83</f>
        <v>0</v>
      </c>
      <c r="N83" s="1894" t="str">
        <f t="shared" si="8"/>
        <v>NA</v>
      </c>
      <c r="O83" s="1892">
        <v>0</v>
      </c>
      <c r="P83" s="1892">
        <f t="shared" si="10"/>
        <v>0</v>
      </c>
      <c r="Q83" s="1890"/>
    </row>
    <row r="84" spans="1:17">
      <c r="A84" s="1889" t="s">
        <v>1978</v>
      </c>
      <c r="B84" s="1889" t="s">
        <v>2020</v>
      </c>
      <c r="C84" s="1890" t="s">
        <v>2022</v>
      </c>
      <c r="D84" s="1890" t="s">
        <v>85</v>
      </c>
      <c r="E84" s="1891">
        <f>'Calculation (table 3.2)'!E84</f>
        <v>0</v>
      </c>
      <c r="F84" s="1891">
        <f>'Calculation (table 3.2)'!F84</f>
        <v>0</v>
      </c>
      <c r="G84" s="1891">
        <f>'Calculation (table 3.2)'!G84</f>
        <v>20</v>
      </c>
      <c r="H84" s="1891">
        <f t="shared" si="5"/>
        <v>20</v>
      </c>
      <c r="I84" s="1891">
        <f>'Calculation (table 3.2)'!I84</f>
        <v>60</v>
      </c>
      <c r="J84" s="1892">
        <f t="shared" si="6"/>
        <v>60</v>
      </c>
      <c r="K84" s="1892">
        <f>'Calculation (table 3.2)'!K84</f>
        <v>63.245553203367585</v>
      </c>
      <c r="L84" s="1892">
        <f t="shared" si="7"/>
        <v>63.245553203367585</v>
      </c>
      <c r="M84" s="1893">
        <f>'Calculation (table 3.2)'!L84</f>
        <v>0</v>
      </c>
      <c r="N84" s="1894" t="str">
        <f t="shared" si="8"/>
        <v>NA</v>
      </c>
      <c r="O84" s="1892">
        <v>0</v>
      </c>
      <c r="P84" s="1892">
        <f t="shared" si="10"/>
        <v>0</v>
      </c>
      <c r="Q84" s="1890"/>
    </row>
    <row r="85" spans="1:17">
      <c r="A85" s="1889" t="s">
        <v>1978</v>
      </c>
      <c r="B85" s="1889" t="s">
        <v>2020</v>
      </c>
      <c r="C85" s="1890" t="s">
        <v>2023</v>
      </c>
      <c r="D85" s="1890" t="s">
        <v>2412</v>
      </c>
      <c r="E85" s="1891">
        <f>'Calculation (table 3.2)'!E85</f>
        <v>0</v>
      </c>
      <c r="F85" s="1891">
        <f>'Calculation (table 3.2)'!F85</f>
        <v>0</v>
      </c>
      <c r="G85" s="1891">
        <f>'Calculation (table 3.2)'!G85</f>
        <v>20</v>
      </c>
      <c r="H85" s="1891">
        <f t="shared" si="5"/>
        <v>20</v>
      </c>
      <c r="I85" s="1891">
        <f>'Calculation (table 3.2)'!I85</f>
        <v>0.50252337061801344</v>
      </c>
      <c r="J85" s="1892">
        <f t="shared" si="6"/>
        <v>0.50252337061801344</v>
      </c>
      <c r="K85" s="1892">
        <f>'Calculation (table 3.2)'!K85</f>
        <v>20.006312247338769</v>
      </c>
      <c r="L85" s="1892">
        <f t="shared" si="7"/>
        <v>20.006312247338769</v>
      </c>
      <c r="M85" s="1893">
        <f>'Calculation (table 3.2)'!L85</f>
        <v>0</v>
      </c>
      <c r="N85" s="1894" t="str">
        <f t="shared" si="8"/>
        <v>NA</v>
      </c>
      <c r="O85" s="1892">
        <v>0.12754190676742697</v>
      </c>
      <c r="P85" s="1892">
        <f t="shared" si="10"/>
        <v>0.12754190676742697</v>
      </c>
      <c r="Q85" s="1890"/>
    </row>
    <row r="86" spans="1:17">
      <c r="A86" s="1889" t="s">
        <v>1978</v>
      </c>
      <c r="B86" s="1889" t="s">
        <v>2020</v>
      </c>
      <c r="C86" s="1890" t="s">
        <v>2023</v>
      </c>
      <c r="D86" s="1890" t="s">
        <v>84</v>
      </c>
      <c r="E86" s="1891">
        <f>'Calculation (table 3.2)'!E86</f>
        <v>0</v>
      </c>
      <c r="F86" s="1891">
        <f>'Calculation (table 3.2)'!F86</f>
        <v>0</v>
      </c>
      <c r="G86" s="1891">
        <f>'Calculation (table 3.2)'!G86</f>
        <v>20</v>
      </c>
      <c r="H86" s="1891">
        <f t="shared" si="5"/>
        <v>20</v>
      </c>
      <c r="I86" s="1891">
        <f>'Calculation (table 3.2)'!I86</f>
        <v>60</v>
      </c>
      <c r="J86" s="1892">
        <f t="shared" si="6"/>
        <v>60</v>
      </c>
      <c r="K86" s="1892">
        <f>'Calculation (table 3.2)'!K86</f>
        <v>63.245553203367585</v>
      </c>
      <c r="L86" s="1892">
        <f t="shared" si="7"/>
        <v>63.245553203367585</v>
      </c>
      <c r="M86" s="1893">
        <f>'Calculation (table 3.2)'!L86</f>
        <v>0</v>
      </c>
      <c r="N86" s="1894" t="str">
        <f t="shared" si="8"/>
        <v>NA</v>
      </c>
      <c r="O86" s="1892">
        <v>3.6610002477960784E-4</v>
      </c>
      <c r="P86" s="1892">
        <f t="shared" si="10"/>
        <v>3.6610002477960784E-4</v>
      </c>
      <c r="Q86" s="1890"/>
    </row>
    <row r="87" spans="1:17">
      <c r="A87" s="1889" t="s">
        <v>1978</v>
      </c>
      <c r="B87" s="1889" t="s">
        <v>2020</v>
      </c>
      <c r="C87" s="1890" t="s">
        <v>2023</v>
      </c>
      <c r="D87" s="1890" t="s">
        <v>85</v>
      </c>
      <c r="E87" s="1891">
        <f>'Calculation (table 3.2)'!E87</f>
        <v>0</v>
      </c>
      <c r="F87" s="1891">
        <f>'Calculation (table 3.2)'!F87</f>
        <v>0</v>
      </c>
      <c r="G87" s="1891">
        <f>'Calculation (table 3.2)'!G87</f>
        <v>20</v>
      </c>
      <c r="H87" s="1891">
        <f t="shared" si="5"/>
        <v>20</v>
      </c>
      <c r="I87" s="1891">
        <f>'Calculation (table 3.2)'!I87</f>
        <v>60</v>
      </c>
      <c r="J87" s="1892">
        <f t="shared" si="6"/>
        <v>60</v>
      </c>
      <c r="K87" s="1892">
        <f>'Calculation (table 3.2)'!K87</f>
        <v>63.245553203367585</v>
      </c>
      <c r="L87" s="1892">
        <f t="shared" si="7"/>
        <v>63.245553203367585</v>
      </c>
      <c r="M87" s="1893">
        <f>'Calculation (table 3.2)'!L87</f>
        <v>0</v>
      </c>
      <c r="N87" s="1894" t="str">
        <f t="shared" si="8"/>
        <v>NA</v>
      </c>
      <c r="O87" s="1892">
        <v>1.4537971989177563E-3</v>
      </c>
      <c r="P87" s="1892">
        <f t="shared" si="10"/>
        <v>1.4537971989177563E-3</v>
      </c>
      <c r="Q87" s="1890"/>
    </row>
    <row r="88" spans="1:17">
      <c r="A88" s="1889" t="s">
        <v>1978</v>
      </c>
      <c r="B88" s="1889" t="s">
        <v>2020</v>
      </c>
      <c r="C88" s="1890" t="s">
        <v>2024</v>
      </c>
      <c r="D88" s="1890" t="s">
        <v>2412</v>
      </c>
      <c r="E88" s="1891">
        <f>'Calculation (table 3.2)'!E88</f>
        <v>0</v>
      </c>
      <c r="F88" s="1891">
        <f>'Calculation (table 3.2)'!F88</f>
        <v>0</v>
      </c>
      <c r="G88" s="1891">
        <f>'Calculation (table 3.2)'!G88</f>
        <v>10</v>
      </c>
      <c r="H88" s="1891">
        <f t="shared" si="5"/>
        <v>10</v>
      </c>
      <c r="I88" s="1891">
        <f>'Calculation (table 3.2)'!I88</f>
        <v>2</v>
      </c>
      <c r="J88" s="1892">
        <f t="shared" si="6"/>
        <v>2</v>
      </c>
      <c r="K88" s="1892">
        <f>'Calculation (table 3.2)'!K88</f>
        <v>10.198039027185569</v>
      </c>
      <c r="L88" s="1892">
        <f t="shared" si="7"/>
        <v>10.198039027185569</v>
      </c>
      <c r="M88" s="1893">
        <f>'Calculation (table 3.2)'!L88</f>
        <v>0</v>
      </c>
      <c r="N88" s="1894" t="str">
        <f t="shared" si="8"/>
        <v>NA</v>
      </c>
      <c r="O88" s="1892">
        <v>0</v>
      </c>
      <c r="P88" s="1892">
        <f t="shared" si="10"/>
        <v>0</v>
      </c>
      <c r="Q88" s="1890"/>
    </row>
    <row r="89" spans="1:17">
      <c r="A89" s="1889" t="s">
        <v>1978</v>
      </c>
      <c r="B89" s="1889" t="s">
        <v>2020</v>
      </c>
      <c r="C89" s="1890" t="s">
        <v>2024</v>
      </c>
      <c r="D89" s="1890" t="s">
        <v>84</v>
      </c>
      <c r="E89" s="1891">
        <f>'Calculation (table 3.2)'!E89</f>
        <v>0</v>
      </c>
      <c r="F89" s="1891">
        <f>'Calculation (table 3.2)'!F89</f>
        <v>0</v>
      </c>
      <c r="G89" s="1891">
        <f>'Calculation (table 3.2)'!G89</f>
        <v>10</v>
      </c>
      <c r="H89" s="1891">
        <f t="shared" si="5"/>
        <v>10</v>
      </c>
      <c r="I89" s="1891">
        <f>'Calculation (table 3.2)'!I89</f>
        <v>60</v>
      </c>
      <c r="J89" s="1892">
        <f t="shared" si="6"/>
        <v>60</v>
      </c>
      <c r="K89" s="1892">
        <f>'Calculation (table 3.2)'!K89</f>
        <v>60.827625302982199</v>
      </c>
      <c r="L89" s="1892">
        <f t="shared" si="7"/>
        <v>60.827625302982199</v>
      </c>
      <c r="M89" s="1893">
        <f>'Calculation (table 3.2)'!L89</f>
        <v>0</v>
      </c>
      <c r="N89" s="1894" t="str">
        <f t="shared" si="8"/>
        <v>NA</v>
      </c>
      <c r="O89" s="1892">
        <v>0</v>
      </c>
      <c r="P89" s="1892">
        <f t="shared" si="10"/>
        <v>0</v>
      </c>
      <c r="Q89" s="1890"/>
    </row>
    <row r="90" spans="1:17">
      <c r="A90" s="1889" t="s">
        <v>1978</v>
      </c>
      <c r="B90" s="1889" t="s">
        <v>2020</v>
      </c>
      <c r="C90" s="1890" t="s">
        <v>2024</v>
      </c>
      <c r="D90" s="1890" t="s">
        <v>85</v>
      </c>
      <c r="E90" s="1891">
        <f>'Calculation (table 3.2)'!E90</f>
        <v>0</v>
      </c>
      <c r="F90" s="1891">
        <f>'Calculation (table 3.2)'!F90</f>
        <v>0</v>
      </c>
      <c r="G90" s="1891">
        <f>'Calculation (table 3.2)'!G90</f>
        <v>10</v>
      </c>
      <c r="H90" s="1891">
        <f t="shared" si="5"/>
        <v>10</v>
      </c>
      <c r="I90" s="1891">
        <f>'Calculation (table 3.2)'!I90</f>
        <v>60</v>
      </c>
      <c r="J90" s="1892">
        <f t="shared" si="6"/>
        <v>60</v>
      </c>
      <c r="K90" s="1892">
        <f>'Calculation (table 3.2)'!K90</f>
        <v>60.827625302982199</v>
      </c>
      <c r="L90" s="1892">
        <f t="shared" si="7"/>
        <v>60.827625302982199</v>
      </c>
      <c r="M90" s="1893">
        <f>'Calculation (table 3.2)'!L90</f>
        <v>0</v>
      </c>
      <c r="N90" s="1894" t="str">
        <f t="shared" si="8"/>
        <v>NA</v>
      </c>
      <c r="O90" s="1892">
        <v>0</v>
      </c>
      <c r="P90" s="1892">
        <f t="shared" si="10"/>
        <v>0</v>
      </c>
      <c r="Q90" s="1890"/>
    </row>
    <row r="91" spans="1:17">
      <c r="A91" s="1889" t="s">
        <v>1978</v>
      </c>
      <c r="B91" s="1889" t="s">
        <v>2020</v>
      </c>
      <c r="C91" s="1890" t="s">
        <v>2025</v>
      </c>
      <c r="D91" s="1890" t="s">
        <v>84</v>
      </c>
      <c r="E91" s="1891">
        <f>'Calculation (table 3.2)'!E91</f>
        <v>0</v>
      </c>
      <c r="F91" s="1891">
        <f>'Calculation (table 3.2)'!F91</f>
        <v>0</v>
      </c>
      <c r="G91" s="1891">
        <f>'Calculation (table 3.2)'!G91</f>
        <v>10</v>
      </c>
      <c r="H91" s="1891">
        <f t="shared" si="5"/>
        <v>10</v>
      </c>
      <c r="I91" s="1891">
        <f>'Calculation (table 3.2)'!I91</f>
        <v>60</v>
      </c>
      <c r="J91" s="1892">
        <f t="shared" si="6"/>
        <v>60</v>
      </c>
      <c r="K91" s="1892">
        <f>'Calculation (table 3.2)'!K91</f>
        <v>60.827625302982199</v>
      </c>
      <c r="L91" s="1892">
        <f t="shared" si="7"/>
        <v>60.827625302982199</v>
      </c>
      <c r="M91" s="1893">
        <f>'Calculation (table 3.2)'!L91</f>
        <v>0</v>
      </c>
      <c r="N91" s="1894" t="str">
        <f t="shared" si="8"/>
        <v>NA</v>
      </c>
      <c r="O91" s="1892">
        <v>4.7568477345611592E-4</v>
      </c>
      <c r="P91" s="1892">
        <f t="shared" si="10"/>
        <v>4.7568477345611592E-4</v>
      </c>
      <c r="Q91" s="1890"/>
    </row>
    <row r="92" spans="1:17">
      <c r="A92" s="1889" t="s">
        <v>1978</v>
      </c>
      <c r="B92" s="1889" t="s">
        <v>2020</v>
      </c>
      <c r="C92" s="1890" t="s">
        <v>2025</v>
      </c>
      <c r="D92" s="1890" t="s">
        <v>85</v>
      </c>
      <c r="E92" s="1891">
        <f>'Calculation (table 3.2)'!E92</f>
        <v>0</v>
      </c>
      <c r="F92" s="1891">
        <f>'Calculation (table 3.2)'!F92</f>
        <v>0</v>
      </c>
      <c r="G92" s="1891">
        <f>'Calculation (table 3.2)'!G92</f>
        <v>10</v>
      </c>
      <c r="H92" s="1891">
        <f t="shared" si="5"/>
        <v>10</v>
      </c>
      <c r="I92" s="1891">
        <f>'Calculation (table 3.2)'!I92</f>
        <v>60</v>
      </c>
      <c r="J92" s="1892">
        <f t="shared" si="6"/>
        <v>60</v>
      </c>
      <c r="K92" s="1892">
        <f>'Calculation (table 3.2)'!K92</f>
        <v>60.827625302982199</v>
      </c>
      <c r="L92" s="1892">
        <f t="shared" si="7"/>
        <v>60.827625302982199</v>
      </c>
      <c r="M92" s="1893">
        <f>'Calculation (table 3.2)'!L92</f>
        <v>0</v>
      </c>
      <c r="N92" s="1894" t="str">
        <f t="shared" si="8"/>
        <v>NA</v>
      </c>
      <c r="O92" s="1892">
        <v>3.5001159443427353E-5</v>
      </c>
      <c r="P92" s="1892">
        <f t="shared" si="10"/>
        <v>3.5001159443427353E-5</v>
      </c>
      <c r="Q92" s="1890"/>
    </row>
    <row r="93" spans="1:17">
      <c r="A93" s="1889" t="s">
        <v>1978</v>
      </c>
      <c r="B93" s="1889" t="s">
        <v>2026</v>
      </c>
      <c r="C93" s="1890" t="s">
        <v>2027</v>
      </c>
      <c r="D93" s="1890" t="s">
        <v>2412</v>
      </c>
      <c r="E93" s="1891">
        <f>'Calculation (table 3.2)'!E93</f>
        <v>0</v>
      </c>
      <c r="F93" s="1891">
        <f>'Calculation (table 3.2)'!F93</f>
        <v>0</v>
      </c>
      <c r="G93" s="1891">
        <f>'Calculation (table 3.2)'!G93</f>
        <v>55</v>
      </c>
      <c r="H93" s="1891">
        <f t="shared" si="5"/>
        <v>55</v>
      </c>
      <c r="I93" s="1891">
        <f>'Calculation (table 3.2)'!I93</f>
        <v>20</v>
      </c>
      <c r="J93" s="1892">
        <f t="shared" si="6"/>
        <v>20</v>
      </c>
      <c r="K93" s="1892">
        <f>'Calculation (table 3.2)'!K93</f>
        <v>58.523499553598128</v>
      </c>
      <c r="L93" s="1892">
        <f t="shared" si="7"/>
        <v>58.523499553598128</v>
      </c>
      <c r="M93" s="1893">
        <f>'Calculation (table 3.2)'!L93</f>
        <v>0</v>
      </c>
      <c r="N93" s="1894" t="str">
        <f t="shared" si="8"/>
        <v>NA</v>
      </c>
      <c r="O93" s="1892">
        <v>0.15046899079773191</v>
      </c>
      <c r="P93" s="1892">
        <f t="shared" si="10"/>
        <v>0.15046899079773191</v>
      </c>
      <c r="Q93" s="1890"/>
    </row>
    <row r="94" spans="1:17">
      <c r="A94" s="1889" t="s">
        <v>1978</v>
      </c>
      <c r="B94" s="1889" t="s">
        <v>2026</v>
      </c>
      <c r="C94" s="1890" t="s">
        <v>2027</v>
      </c>
      <c r="D94" s="1890" t="s">
        <v>84</v>
      </c>
      <c r="E94" s="1891">
        <f>'Calculation (table 3.2)'!E94</f>
        <v>0</v>
      </c>
      <c r="F94" s="1891">
        <f>'Calculation (table 3.2)'!F94</f>
        <v>0</v>
      </c>
      <c r="G94" s="1891">
        <f>'Calculation (table 3.2)'!G94</f>
        <v>25</v>
      </c>
      <c r="H94" s="1891">
        <f t="shared" si="5"/>
        <v>25</v>
      </c>
      <c r="I94" s="1891">
        <f>'Calculation (table 3.2)'!I94</f>
        <v>100</v>
      </c>
      <c r="J94" s="1892">
        <f t="shared" si="6"/>
        <v>100</v>
      </c>
      <c r="K94" s="1892">
        <f>'Calculation (table 3.2)'!K94</f>
        <v>103.07764064044152</v>
      </c>
      <c r="L94" s="1892">
        <f t="shared" si="7"/>
        <v>103.07764064044152</v>
      </c>
      <c r="M94" s="1893">
        <f>'Calculation (table 3.2)'!L94</f>
        <v>0</v>
      </c>
      <c r="N94" s="1894" t="str">
        <f t="shared" si="8"/>
        <v>NA</v>
      </c>
      <c r="O94" s="1892">
        <v>8.3906369597442979E-2</v>
      </c>
      <c r="P94" s="1892">
        <f t="shared" si="10"/>
        <v>8.3906369597442979E-2</v>
      </c>
      <c r="Q94" s="1890"/>
    </row>
    <row r="95" spans="1:17">
      <c r="A95" s="1889" t="s">
        <v>1978</v>
      </c>
      <c r="B95" s="1889" t="s">
        <v>2026</v>
      </c>
      <c r="C95" s="1890" t="s">
        <v>2027</v>
      </c>
      <c r="D95" s="1890" t="s">
        <v>85</v>
      </c>
      <c r="E95" s="1891">
        <f>'Calculation (table 3.2)'!E95</f>
        <v>0</v>
      </c>
      <c r="F95" s="1891">
        <f>'Calculation (table 3.2)'!F95</f>
        <v>0</v>
      </c>
      <c r="G95" s="1891">
        <f>'Calculation (table 3.2)'!G95</f>
        <v>90</v>
      </c>
      <c r="H95" s="1891">
        <f t="shared" si="5"/>
        <v>90</v>
      </c>
      <c r="I95" s="1891">
        <f>'Calculation (table 3.2)'!I95</f>
        <v>60</v>
      </c>
      <c r="J95" s="1892">
        <f t="shared" si="6"/>
        <v>60</v>
      </c>
      <c r="K95" s="1892">
        <f>'Calculation (table 3.2)'!K95</f>
        <v>108.16653826391968</v>
      </c>
      <c r="L95" s="1892">
        <f t="shared" si="7"/>
        <v>108.16653826391968</v>
      </c>
      <c r="M95" s="1893">
        <f>'Calculation (table 3.2)'!L95</f>
        <v>0</v>
      </c>
      <c r="N95" s="1894" t="str">
        <f t="shared" si="8"/>
        <v>NA</v>
      </c>
      <c r="O95" s="1892">
        <v>3.0565393476474508E-3</v>
      </c>
      <c r="P95" s="1892">
        <f t="shared" si="10"/>
        <v>3.0565393476474508E-3</v>
      </c>
      <c r="Q95" s="1890"/>
    </row>
    <row r="96" spans="1:17">
      <c r="A96" s="1889" t="s">
        <v>2028</v>
      </c>
      <c r="B96" s="1889" t="s">
        <v>2029</v>
      </c>
      <c r="C96" s="1890" t="s">
        <v>2030</v>
      </c>
      <c r="D96" s="1890" t="s">
        <v>2412</v>
      </c>
      <c r="E96" s="1891">
        <f>'Calculation (table 3.2)'!E96</f>
        <v>0</v>
      </c>
      <c r="F96" s="1891">
        <f>'Calculation (table 3.2)'!F96</f>
        <v>0</v>
      </c>
      <c r="G96" s="1891">
        <f>'Calculation (table 3.2)'!G96</f>
        <v>2</v>
      </c>
      <c r="H96" s="1891">
        <f t="shared" si="5"/>
        <v>2</v>
      </c>
      <c r="I96" s="1891">
        <f>'Calculation (table 3.2)'!I96</f>
        <v>5</v>
      </c>
      <c r="J96" s="1892">
        <f t="shared" si="6"/>
        <v>5</v>
      </c>
      <c r="K96" s="1892">
        <f>'Calculation (table 3.2)'!K96</f>
        <v>5.3851648071345037</v>
      </c>
      <c r="L96" s="1892">
        <f t="shared" si="7"/>
        <v>5.3851648071345037</v>
      </c>
      <c r="M96" s="1893">
        <f>'Calculation (table 3.2)'!L96</f>
        <v>0</v>
      </c>
      <c r="N96" s="1894" t="str">
        <f t="shared" si="8"/>
        <v>NA</v>
      </c>
      <c r="O96" s="1892">
        <v>3.0263752093257698E-2</v>
      </c>
      <c r="P96" s="1892">
        <f t="shared" si="10"/>
        <v>3.0263752093257698E-2</v>
      </c>
      <c r="Q96" s="1890"/>
    </row>
    <row r="97" spans="1:17">
      <c r="A97" s="1889" t="s">
        <v>2028</v>
      </c>
      <c r="B97" s="1889" t="s">
        <v>2031</v>
      </c>
      <c r="C97" s="1890" t="s">
        <v>2032</v>
      </c>
      <c r="D97" s="1890" t="s">
        <v>2412</v>
      </c>
      <c r="E97" s="1891">
        <f>'Calculation (table 3.2)'!E97</f>
        <v>0</v>
      </c>
      <c r="F97" s="1891">
        <f>'Calculation (table 3.2)'!F97</f>
        <v>0</v>
      </c>
      <c r="G97" s="1891">
        <f>'Calculation (table 3.2)'!G97</f>
        <v>2</v>
      </c>
      <c r="H97" s="1891">
        <f t="shared" si="5"/>
        <v>2</v>
      </c>
      <c r="I97" s="1891">
        <f>'Calculation (table 3.2)'!I97</f>
        <v>3</v>
      </c>
      <c r="J97" s="1892">
        <f t="shared" si="6"/>
        <v>3</v>
      </c>
      <c r="K97" s="1892">
        <f>'Calculation (table 3.2)'!K97</f>
        <v>3.6055512754639891</v>
      </c>
      <c r="L97" s="1892">
        <f t="shared" si="7"/>
        <v>3.6055512754639891</v>
      </c>
      <c r="M97" s="1893">
        <f>'Calculation (table 3.2)'!L97</f>
        <v>0</v>
      </c>
      <c r="N97" s="1894" t="str">
        <f t="shared" si="8"/>
        <v>NA</v>
      </c>
      <c r="O97" s="1892">
        <v>3.438476419990974E-2</v>
      </c>
      <c r="P97" s="1892">
        <f t="shared" si="10"/>
        <v>3.438476419990974E-2</v>
      </c>
      <c r="Q97" s="1890"/>
    </row>
    <row r="98" spans="1:17">
      <c r="A98" s="1889" t="s">
        <v>2028</v>
      </c>
      <c r="B98" s="1889" t="s">
        <v>2033</v>
      </c>
      <c r="C98" s="1890" t="s">
        <v>2034</v>
      </c>
      <c r="D98" s="1890" t="s">
        <v>2412</v>
      </c>
      <c r="E98" s="1891">
        <f>'Calculation (table 3.2)'!E98</f>
        <v>0</v>
      </c>
      <c r="F98" s="1891">
        <f>'Calculation (table 3.2)'!F98</f>
        <v>0</v>
      </c>
      <c r="G98" s="1891">
        <f>'Calculation (table 3.2)'!G98</f>
        <v>5</v>
      </c>
      <c r="H98" s="1891">
        <f t="shared" si="5"/>
        <v>5</v>
      </c>
      <c r="I98" s="1891">
        <f>'Calculation (table 3.2)'!I98</f>
        <v>3</v>
      </c>
      <c r="J98" s="1892">
        <f t="shared" si="6"/>
        <v>3</v>
      </c>
      <c r="K98" s="1892">
        <f>'Calculation (table 3.2)'!K98</f>
        <v>5.8309518948453007</v>
      </c>
      <c r="L98" s="1892">
        <f t="shared" si="7"/>
        <v>5.8309518948453007</v>
      </c>
      <c r="M98" s="1893">
        <f>'Calculation (table 3.2)'!L98</f>
        <v>0</v>
      </c>
      <c r="N98" s="1894" t="str">
        <f t="shared" si="8"/>
        <v>NA</v>
      </c>
      <c r="O98" s="1892">
        <v>5.6212548979741163E-4</v>
      </c>
      <c r="P98" s="1892">
        <f t="shared" si="10"/>
        <v>5.6212548979741163E-4</v>
      </c>
      <c r="Q98" s="1890"/>
    </row>
    <row r="99" spans="1:17">
      <c r="A99" s="1889" t="s">
        <v>2028</v>
      </c>
      <c r="B99" s="1889" t="s">
        <v>2035</v>
      </c>
      <c r="C99" s="1890" t="s">
        <v>2036</v>
      </c>
      <c r="D99" s="1890" t="s">
        <v>2412</v>
      </c>
      <c r="E99" s="1891">
        <f>'Calculation (table 3.2)'!E99</f>
        <v>0</v>
      </c>
      <c r="F99" s="1891">
        <f>'Calculation (table 3.2)'!F99</f>
        <v>0</v>
      </c>
      <c r="G99" s="1891">
        <f>'Calculation (table 3.2)'!G99</f>
        <v>4.5</v>
      </c>
      <c r="H99" s="1891">
        <f t="shared" si="5"/>
        <v>4.5</v>
      </c>
      <c r="I99" s="1891">
        <f>'Calculation (table 3.2)'!I99</f>
        <v>2.5</v>
      </c>
      <c r="J99" s="1892">
        <f t="shared" si="6"/>
        <v>2.5</v>
      </c>
      <c r="K99" s="1892">
        <f>'Calculation (table 3.2)'!K99</f>
        <v>5.1478150704935004</v>
      </c>
      <c r="L99" s="1892">
        <f t="shared" si="7"/>
        <v>5.1478150704935004</v>
      </c>
      <c r="M99" s="1893">
        <f>'Calculation (table 3.2)'!L99</f>
        <v>0</v>
      </c>
      <c r="N99" s="1894" t="str">
        <f t="shared" si="8"/>
        <v>NA</v>
      </c>
      <c r="O99" s="1892">
        <v>1.6081854683534572E-2</v>
      </c>
      <c r="P99" s="1892">
        <f t="shared" si="10"/>
        <v>1.6081854683534572E-2</v>
      </c>
      <c r="Q99" s="1890"/>
    </row>
    <row r="100" spans="1:17">
      <c r="A100" s="1889" t="s">
        <v>2028</v>
      </c>
      <c r="B100" s="1889" t="s">
        <v>2037</v>
      </c>
      <c r="C100" s="1890" t="s">
        <v>2038</v>
      </c>
      <c r="D100" s="1890" t="s">
        <v>2412</v>
      </c>
      <c r="E100" s="1891">
        <f>'Calculation (table 3.2)'!E100</f>
        <v>0</v>
      </c>
      <c r="F100" s="1891">
        <f>'Calculation (table 3.2)'!F100</f>
        <v>0</v>
      </c>
      <c r="G100" s="1891">
        <f>'Calculation (table 3.2)'!G100</f>
        <v>3</v>
      </c>
      <c r="H100" s="1891">
        <f t="shared" si="5"/>
        <v>3</v>
      </c>
      <c r="I100" s="1891">
        <f>'Calculation (table 3.2)'!I100</f>
        <v>15</v>
      </c>
      <c r="J100" s="1892">
        <f t="shared" si="6"/>
        <v>15</v>
      </c>
      <c r="K100" s="1892">
        <f>'Calculation (table 3.2)'!K100</f>
        <v>15.297058540778355</v>
      </c>
      <c r="L100" s="1892">
        <f t="shared" si="7"/>
        <v>15.297058540778355</v>
      </c>
      <c r="M100" s="1893">
        <f>'Calculation (table 3.2)'!L100</f>
        <v>0</v>
      </c>
      <c r="N100" s="1894" t="str">
        <f t="shared" si="8"/>
        <v>NA</v>
      </c>
      <c r="O100" s="1892">
        <v>0</v>
      </c>
      <c r="P100" s="1892">
        <f t="shared" si="10"/>
        <v>0</v>
      </c>
      <c r="Q100" s="1890"/>
    </row>
    <row r="101" spans="1:17">
      <c r="A101" s="1889" t="s">
        <v>2028</v>
      </c>
      <c r="B101" s="1889" t="s">
        <v>2039</v>
      </c>
      <c r="C101" s="1890" t="s">
        <v>2040</v>
      </c>
      <c r="D101" s="1890" t="s">
        <v>85</v>
      </c>
      <c r="E101" s="1891">
        <f>'Calculation (table 3.2)'!E101</f>
        <v>0</v>
      </c>
      <c r="F101" s="1891">
        <f>'Calculation (table 3.2)'!F101</f>
        <v>0</v>
      </c>
      <c r="G101" s="1891">
        <f>'Calculation (table 3.2)'!G101</f>
        <v>3</v>
      </c>
      <c r="H101" s="1891">
        <f t="shared" si="5"/>
        <v>3</v>
      </c>
      <c r="I101" s="1891">
        <f>'Calculation (table 3.2)'!I101</f>
        <v>15</v>
      </c>
      <c r="J101" s="1892">
        <f t="shared" si="6"/>
        <v>15</v>
      </c>
      <c r="K101" s="1892">
        <f>'Calculation (table 3.2)'!K101</f>
        <v>15.297058540778355</v>
      </c>
      <c r="L101" s="1892">
        <f t="shared" si="7"/>
        <v>15.297058540778355</v>
      </c>
      <c r="M101" s="1893">
        <f>'Calculation (table 3.2)'!L101</f>
        <v>0</v>
      </c>
      <c r="N101" s="1894" t="str">
        <f t="shared" si="8"/>
        <v>NA</v>
      </c>
      <c r="O101" s="1892">
        <v>8.2439481460917327E-2</v>
      </c>
      <c r="P101" s="1892">
        <f t="shared" si="10"/>
        <v>8.2439481460917327E-2</v>
      </c>
      <c r="Q101" s="1890"/>
    </row>
    <row r="102" spans="1:17">
      <c r="A102" s="1889" t="s">
        <v>2028</v>
      </c>
      <c r="B102" s="1889" t="s">
        <v>2041</v>
      </c>
      <c r="C102" s="1890" t="s">
        <v>2042</v>
      </c>
      <c r="D102" s="1890" t="s">
        <v>2412</v>
      </c>
      <c r="E102" s="1891">
        <f>'Calculation (table 3.2)'!E102</f>
        <v>0</v>
      </c>
      <c r="F102" s="1891">
        <f>'Calculation (table 3.2)'!F102</f>
        <v>0</v>
      </c>
      <c r="G102" s="1891">
        <f>'Calculation (table 3.2)'!G102</f>
        <v>7</v>
      </c>
      <c r="H102" s="1891">
        <f t="shared" si="5"/>
        <v>7</v>
      </c>
      <c r="I102" s="1891">
        <f>'Calculation (table 3.2)'!I102</f>
        <v>0</v>
      </c>
      <c r="J102" s="1892">
        <f t="shared" si="6"/>
        <v>0</v>
      </c>
      <c r="K102" s="1892">
        <f>'Calculation (table 3.2)'!K102</f>
        <v>7</v>
      </c>
      <c r="L102" s="1892">
        <f t="shared" si="7"/>
        <v>7</v>
      </c>
      <c r="M102" s="1893">
        <f>'Calculation (table 3.2)'!L102</f>
        <v>0</v>
      </c>
      <c r="N102" s="1894" t="str">
        <f t="shared" si="8"/>
        <v>NA</v>
      </c>
      <c r="O102" s="1892">
        <v>5.7103436977888845E-3</v>
      </c>
      <c r="P102" s="1892">
        <f t="shared" si="10"/>
        <v>5.7103436977888845E-3</v>
      </c>
      <c r="Q102" s="1890"/>
    </row>
    <row r="103" spans="1:17">
      <c r="A103" s="1889" t="s">
        <v>2028</v>
      </c>
      <c r="B103" s="1889" t="s">
        <v>2043</v>
      </c>
      <c r="C103" s="1890" t="s">
        <v>2044</v>
      </c>
      <c r="D103" s="1890" t="s">
        <v>2412</v>
      </c>
      <c r="E103" s="1891">
        <f>'Calculation (table 3.2)'!E103</f>
        <v>0</v>
      </c>
      <c r="F103" s="1891">
        <f>'Calculation (table 3.2)'!F103</f>
        <v>0</v>
      </c>
      <c r="G103" s="1891">
        <f>'Calculation (table 3.2)'!G103</f>
        <v>5</v>
      </c>
      <c r="H103" s="1891">
        <f t="shared" si="5"/>
        <v>5</v>
      </c>
      <c r="I103" s="1891">
        <f>'Calculation (table 3.2)'!I103</f>
        <v>3</v>
      </c>
      <c r="J103" s="1892">
        <f t="shared" si="6"/>
        <v>3</v>
      </c>
      <c r="K103" s="1892">
        <f>'Calculation (table 3.2)'!K103</f>
        <v>5.8309518948453007</v>
      </c>
      <c r="L103" s="1892">
        <f t="shared" si="7"/>
        <v>5.8309518948453007</v>
      </c>
      <c r="M103" s="1893">
        <f>'Calculation (table 3.2)'!L103</f>
        <v>0</v>
      </c>
      <c r="N103" s="1894" t="str">
        <f t="shared" si="8"/>
        <v>NA</v>
      </c>
      <c r="O103" s="1892">
        <v>0.13499198326367076</v>
      </c>
      <c r="P103" s="1892">
        <f t="shared" si="10"/>
        <v>0.13499198326367076</v>
      </c>
      <c r="Q103" s="1890"/>
    </row>
    <row r="104" spans="1:17">
      <c r="A104" s="1889" t="s">
        <v>2028</v>
      </c>
      <c r="B104" s="1889" t="s">
        <v>2045</v>
      </c>
      <c r="C104" s="1890" t="s">
        <v>2046</v>
      </c>
      <c r="D104" s="1890" t="s">
        <v>2412</v>
      </c>
      <c r="E104" s="1891">
        <f>'Calculation (table 3.2)'!E104</f>
        <v>0</v>
      </c>
      <c r="F104" s="1891">
        <f>'Calculation (table 3.2)'!F104</f>
        <v>0</v>
      </c>
      <c r="G104" s="1891">
        <f>'Calculation (table 3.2)'!G104</f>
        <v>5</v>
      </c>
      <c r="H104" s="1891">
        <f t="shared" si="5"/>
        <v>5</v>
      </c>
      <c r="I104" s="1891">
        <f>'Calculation (table 3.2)'!I104</f>
        <v>3</v>
      </c>
      <c r="J104" s="1892">
        <f t="shared" si="6"/>
        <v>3</v>
      </c>
      <c r="K104" s="1892">
        <f>'Calculation (table 3.2)'!K104</f>
        <v>5.8309518948453007</v>
      </c>
      <c r="L104" s="1892">
        <f t="shared" si="7"/>
        <v>5.8309518948453007</v>
      </c>
      <c r="M104" s="1893">
        <f>'Calculation (table 3.2)'!L104</f>
        <v>0</v>
      </c>
      <c r="N104" s="1894" t="str">
        <f t="shared" si="8"/>
        <v>NA</v>
      </c>
      <c r="O104" s="1892">
        <v>1.0586523095512602E-2</v>
      </c>
      <c r="P104" s="1892">
        <f t="shared" si="10"/>
        <v>1.0586523095512602E-2</v>
      </c>
      <c r="Q104" s="1890"/>
    </row>
    <row r="105" spans="1:17">
      <c r="A105" s="1889" t="s">
        <v>2028</v>
      </c>
      <c r="B105" s="1889" t="s">
        <v>2047</v>
      </c>
      <c r="C105" s="1890" t="s">
        <v>2048</v>
      </c>
      <c r="D105" s="1890" t="s">
        <v>2412</v>
      </c>
      <c r="E105" s="1891">
        <f>'Calculation (table 3.2)'!E105</f>
        <v>0</v>
      </c>
      <c r="F105" s="1891">
        <f>'Calculation (table 3.2)'!F105</f>
        <v>0</v>
      </c>
      <c r="G105" s="1891">
        <f>'Calculation (table 3.2)'!G105</f>
        <v>4</v>
      </c>
      <c r="H105" s="1891">
        <f t="shared" si="5"/>
        <v>4</v>
      </c>
      <c r="I105" s="1891">
        <f>'Calculation (table 3.2)'!I105</f>
        <v>0</v>
      </c>
      <c r="J105" s="1892">
        <f t="shared" si="6"/>
        <v>0</v>
      </c>
      <c r="K105" s="1892">
        <f>'Calculation (table 3.2)'!K105</f>
        <v>4</v>
      </c>
      <c r="L105" s="1892">
        <f t="shared" si="7"/>
        <v>4</v>
      </c>
      <c r="M105" s="1893">
        <f>'Calculation (table 3.2)'!L105</f>
        <v>0</v>
      </c>
      <c r="N105" s="1894" t="str">
        <f t="shared" si="8"/>
        <v>NA</v>
      </c>
      <c r="O105" s="1892">
        <v>0.2143651915948328</v>
      </c>
      <c r="P105" s="1892">
        <f t="shared" si="10"/>
        <v>0.2143651915948328</v>
      </c>
      <c r="Q105" s="1890"/>
    </row>
    <row r="106" spans="1:17">
      <c r="A106" s="1889" t="s">
        <v>2028</v>
      </c>
      <c r="B106" s="1889" t="s">
        <v>2047</v>
      </c>
      <c r="C106" s="1890" t="s">
        <v>2048</v>
      </c>
      <c r="D106" s="1890" t="s">
        <v>84</v>
      </c>
      <c r="E106" s="1891">
        <f>'Calculation (table 3.2)'!E106</f>
        <v>0</v>
      </c>
      <c r="F106" s="1891">
        <f>'Calculation (table 3.2)'!F106</f>
        <v>0</v>
      </c>
      <c r="G106" s="1891">
        <f>'Calculation (table 3.2)'!G106</f>
        <v>3</v>
      </c>
      <c r="H106" s="1891">
        <f t="shared" si="5"/>
        <v>3</v>
      </c>
      <c r="I106" s="1891">
        <f>'Calculation (table 3.2)'!I106</f>
        <v>20</v>
      </c>
      <c r="J106" s="1892">
        <f t="shared" si="6"/>
        <v>20</v>
      </c>
      <c r="K106" s="1892">
        <f>'Calculation (table 3.2)'!K106</f>
        <v>20.223748416156685</v>
      </c>
      <c r="L106" s="1892">
        <f t="shared" si="7"/>
        <v>20.223748416156685</v>
      </c>
      <c r="M106" s="1893">
        <f>'Calculation (table 3.2)'!L106</f>
        <v>0</v>
      </c>
      <c r="N106" s="1894" t="str">
        <f t="shared" si="8"/>
        <v>NA</v>
      </c>
      <c r="O106" s="1892">
        <v>4.5457401111772203E-7</v>
      </c>
      <c r="P106" s="1892">
        <f t="shared" si="10"/>
        <v>4.5457401111772203E-7</v>
      </c>
      <c r="Q106" s="1890"/>
    </row>
    <row r="107" spans="1:17">
      <c r="A107" s="1889" t="s">
        <v>2028</v>
      </c>
      <c r="B107" s="1889" t="s">
        <v>2049</v>
      </c>
      <c r="C107" s="1890" t="s">
        <v>2050</v>
      </c>
      <c r="D107" s="1890" t="s">
        <v>2412</v>
      </c>
      <c r="E107" s="1891">
        <f>'Calculation (table 3.2)'!E107</f>
        <v>0</v>
      </c>
      <c r="F107" s="1891">
        <f>'Calculation (table 3.2)'!F107</f>
        <v>0</v>
      </c>
      <c r="G107" s="1891">
        <f>'Calculation (table 3.2)'!G107</f>
        <v>5</v>
      </c>
      <c r="H107" s="1891">
        <f t="shared" si="5"/>
        <v>5</v>
      </c>
      <c r="I107" s="1891">
        <f>'Calculation (table 3.2)'!I107</f>
        <v>0</v>
      </c>
      <c r="J107" s="1892">
        <f t="shared" si="6"/>
        <v>0</v>
      </c>
      <c r="K107" s="1892">
        <f>'Calculation (table 3.2)'!K107</f>
        <v>5</v>
      </c>
      <c r="L107" s="1892">
        <f t="shared" si="7"/>
        <v>5</v>
      </c>
      <c r="M107" s="1893">
        <f>'Calculation (table 3.2)'!L107</f>
        <v>0</v>
      </c>
      <c r="N107" s="1894" t="str">
        <f t="shared" si="8"/>
        <v>NA</v>
      </c>
      <c r="O107" s="1892">
        <v>2.1213417997109634E-3</v>
      </c>
      <c r="P107" s="1892">
        <f t="shared" si="10"/>
        <v>2.1213417997109634E-3</v>
      </c>
      <c r="Q107" s="1890"/>
    </row>
    <row r="108" spans="1:17">
      <c r="A108" s="1889" t="s">
        <v>2028</v>
      </c>
      <c r="B108" s="1889" t="s">
        <v>2051</v>
      </c>
      <c r="C108" s="1890" t="s">
        <v>2052</v>
      </c>
      <c r="D108" s="1890" t="s">
        <v>2412</v>
      </c>
      <c r="E108" s="1891">
        <f>'Calculation (table 3.2)'!E108</f>
        <v>0</v>
      </c>
      <c r="F108" s="1891">
        <f>'Calculation (table 3.2)'!F108</f>
        <v>0</v>
      </c>
      <c r="G108" s="1891">
        <f>'Calculation (table 3.2)'!G108</f>
        <v>20</v>
      </c>
      <c r="H108" s="1891">
        <f t="shared" si="5"/>
        <v>20</v>
      </c>
      <c r="I108" s="1891">
        <f>'Calculation (table 3.2)'!I108</f>
        <v>7</v>
      </c>
      <c r="J108" s="1892">
        <f t="shared" si="6"/>
        <v>7</v>
      </c>
      <c r="K108" s="1892">
        <f>'Calculation (table 3.2)'!K108</f>
        <v>21.189620100417091</v>
      </c>
      <c r="L108" s="1892">
        <f t="shared" si="7"/>
        <v>21.189620100417091</v>
      </c>
      <c r="M108" s="1893">
        <f>'Calculation (table 3.2)'!L108</f>
        <v>0</v>
      </c>
      <c r="N108" s="1894" t="str">
        <f t="shared" si="8"/>
        <v>NA</v>
      </c>
      <c r="O108" s="1892">
        <v>3.6708777580577924E-2</v>
      </c>
      <c r="P108" s="1892">
        <f t="shared" si="10"/>
        <v>3.6708777580577924E-2</v>
      </c>
      <c r="Q108" s="1890"/>
    </row>
    <row r="109" spans="1:17">
      <c r="A109" s="1889" t="s">
        <v>2028</v>
      </c>
      <c r="B109" s="1889" t="s">
        <v>2051</v>
      </c>
      <c r="C109" s="1890" t="s">
        <v>2052</v>
      </c>
      <c r="D109" s="1890" t="s">
        <v>84</v>
      </c>
      <c r="E109" s="1891">
        <f>'Calculation (table 3.2)'!E109</f>
        <v>0</v>
      </c>
      <c r="F109" s="1891">
        <f>'Calculation (table 3.2)'!F109</f>
        <v>0</v>
      </c>
      <c r="G109" s="1891">
        <f>'Calculation (table 3.2)'!G109</f>
        <v>20</v>
      </c>
      <c r="H109" s="1891">
        <f t="shared" si="5"/>
        <v>20</v>
      </c>
      <c r="I109" s="1891">
        <f>'Calculation (table 3.2)'!I109</f>
        <v>60</v>
      </c>
      <c r="J109" s="1892">
        <f t="shared" si="6"/>
        <v>60</v>
      </c>
      <c r="K109" s="1892">
        <f>'Calculation (table 3.2)'!K109</f>
        <v>63.245553203367585</v>
      </c>
      <c r="L109" s="1892">
        <f t="shared" si="7"/>
        <v>63.245553203367585</v>
      </c>
      <c r="M109" s="1893">
        <f>'Calculation (table 3.2)'!L109</f>
        <v>0</v>
      </c>
      <c r="N109" s="1894" t="str">
        <f t="shared" si="8"/>
        <v>NA</v>
      </c>
      <c r="O109" s="1892">
        <v>7.7025918755077959E-5</v>
      </c>
      <c r="P109" s="1892">
        <f t="shared" si="10"/>
        <v>7.7025918755077959E-5</v>
      </c>
      <c r="Q109" s="1890"/>
    </row>
    <row r="110" spans="1:17">
      <c r="A110" s="1889" t="s">
        <v>2028</v>
      </c>
      <c r="B110" s="1889" t="s">
        <v>2051</v>
      </c>
      <c r="C110" s="1890" t="s">
        <v>2052</v>
      </c>
      <c r="D110" s="1890" t="s">
        <v>85</v>
      </c>
      <c r="E110" s="1891">
        <f>'Calculation (table 3.2)'!E110</f>
        <v>0</v>
      </c>
      <c r="F110" s="1891">
        <f>'Calculation (table 3.2)'!F110</f>
        <v>0</v>
      </c>
      <c r="G110" s="1891">
        <f>'Calculation (table 3.2)'!G110</f>
        <v>20</v>
      </c>
      <c r="H110" s="1891">
        <f t="shared" si="5"/>
        <v>20</v>
      </c>
      <c r="I110" s="1891">
        <f>'Calculation (table 3.2)'!I110</f>
        <v>60</v>
      </c>
      <c r="J110" s="1892">
        <f t="shared" si="6"/>
        <v>60</v>
      </c>
      <c r="K110" s="1892">
        <f>'Calculation (table 3.2)'!K110</f>
        <v>63.245553203367585</v>
      </c>
      <c r="L110" s="1892">
        <f t="shared" si="7"/>
        <v>63.245553203367585</v>
      </c>
      <c r="M110" s="1893">
        <f>'Calculation (table 3.2)'!L110</f>
        <v>0</v>
      </c>
      <c r="N110" s="1894" t="str">
        <f t="shared" si="8"/>
        <v>NA</v>
      </c>
      <c r="O110" s="1892">
        <v>4.5921846277194615E-4</v>
      </c>
      <c r="P110" s="1892">
        <f t="shared" si="10"/>
        <v>4.5921846277194615E-4</v>
      </c>
      <c r="Q110" s="1890"/>
    </row>
    <row r="111" spans="1:17">
      <c r="A111" s="1889" t="s">
        <v>2028</v>
      </c>
      <c r="B111" s="1889" t="s">
        <v>2053</v>
      </c>
      <c r="C111" s="1890" t="s">
        <v>2054</v>
      </c>
      <c r="D111" s="1890" t="s">
        <v>2412</v>
      </c>
      <c r="E111" s="1891">
        <f>'Calculation (table 3.2)'!E111</f>
        <v>0</v>
      </c>
      <c r="F111" s="1891">
        <f>'Calculation (table 3.2)'!F111</f>
        <v>0</v>
      </c>
      <c r="G111" s="1891">
        <f>'Calculation (table 3.2)'!G111</f>
        <v>20</v>
      </c>
      <c r="H111" s="1891">
        <f t="shared" si="5"/>
        <v>20</v>
      </c>
      <c r="I111" s="1891">
        <f>'Calculation (table 3.2)'!I111</f>
        <v>100</v>
      </c>
      <c r="J111" s="1892">
        <f t="shared" si="6"/>
        <v>100</v>
      </c>
      <c r="K111" s="1892">
        <f>'Calculation (table 3.2)'!K111</f>
        <v>101.9803902718557</v>
      </c>
      <c r="L111" s="1892">
        <f t="shared" si="7"/>
        <v>101.9803902718557</v>
      </c>
      <c r="M111" s="1893">
        <f>'Calculation (table 3.2)'!L111</f>
        <v>0</v>
      </c>
      <c r="N111" s="1894" t="str">
        <f t="shared" si="8"/>
        <v>NA</v>
      </c>
      <c r="O111" s="1892">
        <v>3.6062624336328446E-2</v>
      </c>
      <c r="P111" s="1892">
        <f t="shared" si="10"/>
        <v>3.6062624336328446E-2</v>
      </c>
      <c r="Q111" s="1890"/>
    </row>
    <row r="112" spans="1:17">
      <c r="A112" s="1889" t="s">
        <v>2028</v>
      </c>
      <c r="B112" s="1889" t="s">
        <v>2055</v>
      </c>
      <c r="C112" s="1890" t="s">
        <v>2056</v>
      </c>
      <c r="D112" s="1890" t="s">
        <v>2412</v>
      </c>
      <c r="E112" s="1891">
        <f>'Calculation (table 3.2)'!E112</f>
        <v>0</v>
      </c>
      <c r="F112" s="1891">
        <f>'Calculation (table 3.2)'!F112</f>
        <v>0</v>
      </c>
      <c r="G112" s="1891">
        <f>'Calculation (table 3.2)'!G112</f>
        <v>20</v>
      </c>
      <c r="H112" s="1891">
        <f t="shared" si="5"/>
        <v>20</v>
      </c>
      <c r="I112" s="1891">
        <f>'Calculation (table 3.2)'!I112</f>
        <v>2</v>
      </c>
      <c r="J112" s="1892">
        <f t="shared" si="6"/>
        <v>2</v>
      </c>
      <c r="K112" s="1892">
        <f>'Calculation (table 3.2)'!K112</f>
        <v>20.09975124224178</v>
      </c>
      <c r="L112" s="1892">
        <f t="shared" si="7"/>
        <v>20.09975124224178</v>
      </c>
      <c r="M112" s="1893">
        <f>'Calculation (table 3.2)'!L112</f>
        <v>0</v>
      </c>
      <c r="N112" s="1894" t="str">
        <f t="shared" si="8"/>
        <v>NA</v>
      </c>
      <c r="O112" s="1892">
        <v>4.1101883314496358E-3</v>
      </c>
      <c r="P112" s="1892">
        <f t="shared" si="10"/>
        <v>4.1101883314496358E-3</v>
      </c>
      <c r="Q112" s="1890"/>
    </row>
    <row r="113" spans="1:17">
      <c r="A113" s="1889" t="s">
        <v>2028</v>
      </c>
      <c r="B113" s="1889" t="s">
        <v>2057</v>
      </c>
      <c r="C113" s="1890" t="s">
        <v>2058</v>
      </c>
      <c r="D113" s="1890" t="s">
        <v>2059</v>
      </c>
      <c r="E113" s="1891">
        <f>'Calculation (table 3.2)'!E113</f>
        <v>0</v>
      </c>
      <c r="F113" s="1891">
        <f>'Calculation (table 3.2)'!F113</f>
        <v>0</v>
      </c>
      <c r="G113" s="1891">
        <f>'Calculation (table 3.2)'!G113</f>
        <v>20</v>
      </c>
      <c r="H113" s="1891">
        <f t="shared" si="5"/>
        <v>20</v>
      </c>
      <c r="I113" s="1891">
        <f>'Calculation (table 3.2)'!I113</f>
        <v>0</v>
      </c>
      <c r="J113" s="1892">
        <f t="shared" si="6"/>
        <v>0</v>
      </c>
      <c r="K113" s="1892">
        <f>'Calculation (table 3.2)'!K113</f>
        <v>20</v>
      </c>
      <c r="L113" s="1892">
        <f t="shared" si="7"/>
        <v>20</v>
      </c>
      <c r="M113" s="1893">
        <f>'Calculation (table 3.2)'!L113</f>
        <v>0</v>
      </c>
      <c r="N113" s="1894" t="str">
        <f t="shared" si="8"/>
        <v>NA</v>
      </c>
      <c r="O113" s="1892">
        <v>0.66159646125209048</v>
      </c>
      <c r="P113" s="1892">
        <f t="shared" si="10"/>
        <v>0.66159646125209048</v>
      </c>
      <c r="Q113" s="1890"/>
    </row>
    <row r="114" spans="1:17">
      <c r="A114" s="1889" t="s">
        <v>2028</v>
      </c>
      <c r="B114" s="1889" t="s">
        <v>2057</v>
      </c>
      <c r="C114" s="1890" t="s">
        <v>2058</v>
      </c>
      <c r="D114" s="1890" t="s">
        <v>2060</v>
      </c>
      <c r="E114" s="1891">
        <f>'Calculation (table 3.2)'!E114</f>
        <v>0</v>
      </c>
      <c r="F114" s="1891">
        <f>'Calculation (table 3.2)'!F114</f>
        <v>0</v>
      </c>
      <c r="G114" s="1891">
        <f>'Calculation (table 3.2)'!G114</f>
        <v>20</v>
      </c>
      <c r="H114" s="1891">
        <f t="shared" si="5"/>
        <v>20</v>
      </c>
      <c r="I114" s="1891">
        <f>'Calculation (table 3.2)'!I114</f>
        <v>0</v>
      </c>
      <c r="J114" s="1892">
        <f t="shared" si="6"/>
        <v>0</v>
      </c>
      <c r="K114" s="1892">
        <f>'Calculation (table 3.2)'!K114</f>
        <v>20</v>
      </c>
      <c r="L114" s="1892">
        <f t="shared" si="7"/>
        <v>20</v>
      </c>
      <c r="M114" s="1893">
        <f>'Calculation (table 3.2)'!L114</f>
        <v>0</v>
      </c>
      <c r="N114" s="1894" t="str">
        <f t="shared" si="8"/>
        <v>NA</v>
      </c>
      <c r="O114" s="1892">
        <v>4.4754849874913095E-4</v>
      </c>
      <c r="P114" s="1892">
        <f t="shared" si="10"/>
        <v>4.4754849874913095E-4</v>
      </c>
      <c r="Q114" s="1890"/>
    </row>
    <row r="115" spans="1:17">
      <c r="A115" s="1889" t="s">
        <v>2028</v>
      </c>
      <c r="B115" s="1889" t="s">
        <v>2061</v>
      </c>
      <c r="C115" s="1890" t="s">
        <v>2062</v>
      </c>
      <c r="D115" s="1890" t="s">
        <v>2059</v>
      </c>
      <c r="E115" s="1891">
        <f>'Calculation (table 3.2)'!E115</f>
        <v>0</v>
      </c>
      <c r="F115" s="1891">
        <f>'Calculation (table 3.2)'!F115</f>
        <v>0</v>
      </c>
      <c r="G115" s="1891">
        <f>'Calculation (table 3.2)'!G115</f>
        <v>16</v>
      </c>
      <c r="H115" s="1891">
        <f t="shared" si="5"/>
        <v>16</v>
      </c>
      <c r="I115" s="1891">
        <f>'Calculation (table 3.2)'!I115</f>
        <v>0</v>
      </c>
      <c r="J115" s="1892">
        <f t="shared" si="6"/>
        <v>0</v>
      </c>
      <c r="K115" s="1892">
        <f>'Calculation (table 3.2)'!K115</f>
        <v>16</v>
      </c>
      <c r="L115" s="1892">
        <f t="shared" si="7"/>
        <v>16</v>
      </c>
      <c r="M115" s="1893">
        <f>'Calculation (table 3.2)'!L115</f>
        <v>0</v>
      </c>
      <c r="N115" s="1894" t="str">
        <f t="shared" si="8"/>
        <v>NA</v>
      </c>
      <c r="O115" s="1892">
        <v>2.2104826035088754E-3</v>
      </c>
      <c r="P115" s="1892">
        <f t="shared" si="10"/>
        <v>2.2104826035088754E-3</v>
      </c>
      <c r="Q115" s="1890"/>
    </row>
    <row r="116" spans="1:17">
      <c r="A116" s="1889" t="s">
        <v>2028</v>
      </c>
      <c r="B116" s="1889" t="s">
        <v>2063</v>
      </c>
      <c r="C116" s="1890" t="s">
        <v>2064</v>
      </c>
      <c r="D116" s="1890" t="s">
        <v>2059</v>
      </c>
      <c r="E116" s="1891">
        <f>'Calculation (table 3.2)'!E116</f>
        <v>0</v>
      </c>
      <c r="F116" s="1891">
        <f>'Calculation (table 3.2)'!F116</f>
        <v>0</v>
      </c>
      <c r="G116" s="1891">
        <f>'Calculation (table 3.2)'!G116</f>
        <v>35</v>
      </c>
      <c r="H116" s="1891">
        <f t="shared" si="5"/>
        <v>35</v>
      </c>
      <c r="I116" s="1891">
        <f>'Calculation (table 3.2)'!I116</f>
        <v>0</v>
      </c>
      <c r="J116" s="1892">
        <f t="shared" si="6"/>
        <v>0</v>
      </c>
      <c r="K116" s="1892">
        <f>'Calculation (table 3.2)'!K116</f>
        <v>35</v>
      </c>
      <c r="L116" s="1892">
        <f t="shared" si="7"/>
        <v>35</v>
      </c>
      <c r="M116" s="1893">
        <f>'Calculation (table 3.2)'!L116</f>
        <v>0</v>
      </c>
      <c r="N116" s="1894" t="str">
        <f t="shared" si="8"/>
        <v>NA</v>
      </c>
      <c r="O116" s="1892">
        <v>3.6538504689824065E-2</v>
      </c>
      <c r="P116" s="1892">
        <f t="shared" si="10"/>
        <v>3.6538504689824065E-2</v>
      </c>
      <c r="Q116" s="1890"/>
    </row>
    <row r="117" spans="1:17">
      <c r="A117" s="1889" t="s">
        <v>2028</v>
      </c>
      <c r="B117" s="1889" t="s">
        <v>2065</v>
      </c>
      <c r="C117" s="1890" t="s">
        <v>2066</v>
      </c>
      <c r="D117" s="1890" t="s">
        <v>2413</v>
      </c>
      <c r="E117" s="1891">
        <f>'Calculation (table 3.2)'!E117</f>
        <v>0</v>
      </c>
      <c r="F117" s="1891">
        <f>'Calculation (table 3.2)'!F117</f>
        <v>0</v>
      </c>
      <c r="G117" s="1891">
        <f>'Calculation (table 3.2)'!G117</f>
        <v>35</v>
      </c>
      <c r="H117" s="1891">
        <f t="shared" si="5"/>
        <v>35</v>
      </c>
      <c r="I117" s="1891">
        <f>'Calculation (table 3.2)'!I117</f>
        <v>0</v>
      </c>
      <c r="J117" s="1892">
        <f t="shared" si="6"/>
        <v>0</v>
      </c>
      <c r="K117" s="1892">
        <f>'Calculation (table 3.2)'!K117</f>
        <v>35</v>
      </c>
      <c r="L117" s="1892">
        <f t="shared" si="7"/>
        <v>35</v>
      </c>
      <c r="M117" s="1893">
        <f>'Calculation (table 3.2)'!L117</f>
        <v>0</v>
      </c>
      <c r="N117" s="1894" t="str">
        <f t="shared" si="8"/>
        <v>NA</v>
      </c>
      <c r="O117" s="1892">
        <v>9.8566859376919731E-3</v>
      </c>
      <c r="P117" s="1892">
        <f t="shared" si="10"/>
        <v>9.8566859376919731E-3</v>
      </c>
      <c r="Q117" s="1890"/>
    </row>
    <row r="118" spans="1:17">
      <c r="A118" s="1889" t="s">
        <v>2028</v>
      </c>
      <c r="B118" s="1889" t="s">
        <v>2068</v>
      </c>
      <c r="C118" s="1890" t="s">
        <v>2069</v>
      </c>
      <c r="D118" s="1890" t="s">
        <v>85</v>
      </c>
      <c r="E118" s="1891">
        <f>'Calculation (table 3.2)'!E118</f>
        <v>0</v>
      </c>
      <c r="F118" s="1891">
        <f>'Calculation (table 3.2)'!F118</f>
        <v>0</v>
      </c>
      <c r="G118" s="1891">
        <f>'Calculation (table 3.2)'!G118</f>
        <v>10</v>
      </c>
      <c r="H118" s="1891">
        <f t="shared" si="5"/>
        <v>10</v>
      </c>
      <c r="I118" s="1891">
        <f>'Calculation (table 3.2)'!I118</f>
        <v>0</v>
      </c>
      <c r="J118" s="1892">
        <f t="shared" si="6"/>
        <v>0</v>
      </c>
      <c r="K118" s="1892">
        <f>'Calculation (table 3.2)'!K118</f>
        <v>10</v>
      </c>
      <c r="L118" s="1892">
        <f t="shared" si="7"/>
        <v>10</v>
      </c>
      <c r="M118" s="1893">
        <f>'Calculation (table 3.2)'!L118</f>
        <v>0</v>
      </c>
      <c r="N118" s="1894" t="str">
        <f t="shared" si="8"/>
        <v>NA</v>
      </c>
      <c r="O118" s="1892">
        <v>6.0636882069332876E-3</v>
      </c>
      <c r="P118" s="1892">
        <f t="shared" si="10"/>
        <v>6.0636882069332876E-3</v>
      </c>
      <c r="Q118" s="1890"/>
    </row>
    <row r="119" spans="1:17">
      <c r="A119" s="1889" t="s">
        <v>2028</v>
      </c>
      <c r="B119" s="1889" t="s">
        <v>2070</v>
      </c>
      <c r="C119" s="1890" t="s">
        <v>2071</v>
      </c>
      <c r="D119" s="1890" t="s">
        <v>2059</v>
      </c>
      <c r="E119" s="1891">
        <f>'Calculation (table 3.2)'!E119</f>
        <v>0</v>
      </c>
      <c r="F119" s="1891">
        <f>'Calculation (table 3.2)'!F119</f>
        <v>0</v>
      </c>
      <c r="G119" s="1891">
        <f>'Calculation (table 3.2)'!G119</f>
        <v>17</v>
      </c>
      <c r="H119" s="1891">
        <f t="shared" si="5"/>
        <v>17</v>
      </c>
      <c r="I119" s="1891">
        <f>'Calculation (table 3.2)'!I119</f>
        <v>0</v>
      </c>
      <c r="J119" s="1892">
        <f t="shared" si="6"/>
        <v>0</v>
      </c>
      <c r="K119" s="1892">
        <f>'Calculation (table 3.2)'!K119</f>
        <v>17</v>
      </c>
      <c r="L119" s="1892">
        <f t="shared" si="7"/>
        <v>17</v>
      </c>
      <c r="M119" s="1893">
        <f>'Calculation (table 3.2)'!L119</f>
        <v>0</v>
      </c>
      <c r="N119" s="1894" t="str">
        <f t="shared" si="8"/>
        <v>NA</v>
      </c>
      <c r="O119" s="1892">
        <v>1.179760678507527E-3</v>
      </c>
      <c r="P119" s="1892">
        <f>O119</f>
        <v>1.179760678507527E-3</v>
      </c>
      <c r="Q119" s="1890"/>
    </row>
    <row r="120" spans="1:17">
      <c r="A120" s="1889" t="s">
        <v>2028</v>
      </c>
      <c r="B120" s="1889" t="s">
        <v>2070</v>
      </c>
      <c r="C120" s="1890" t="s">
        <v>2071</v>
      </c>
      <c r="D120" s="1890" t="s">
        <v>2060</v>
      </c>
      <c r="E120" s="1891">
        <f>'Calculation (table 3.2)'!E120</f>
        <v>0</v>
      </c>
      <c r="F120" s="1891">
        <f>'Calculation (table 3.2)'!F120</f>
        <v>0</v>
      </c>
      <c r="G120" s="1891">
        <f>'Calculation (table 3.2)'!G120</f>
        <v>50</v>
      </c>
      <c r="H120" s="1891">
        <f t="shared" si="5"/>
        <v>50</v>
      </c>
      <c r="I120" s="1891">
        <f>'Calculation (table 3.2)'!I120</f>
        <v>0</v>
      </c>
      <c r="J120" s="1892">
        <f t="shared" si="6"/>
        <v>0</v>
      </c>
      <c r="K120" s="1892">
        <f>'Calculation (table 3.2)'!K120</f>
        <v>50</v>
      </c>
      <c r="L120" s="1892">
        <f t="shared" si="7"/>
        <v>50</v>
      </c>
      <c r="M120" s="1893">
        <f>'Calculation (table 3.2)'!L120</f>
        <v>0</v>
      </c>
      <c r="N120" s="1894" t="str">
        <f t="shared" si="8"/>
        <v>NA</v>
      </c>
      <c r="O120" s="1892">
        <v>4.3598371927160793E-3</v>
      </c>
      <c r="P120" s="1892">
        <f t="shared" ref="P120:P142" si="11">O120</f>
        <v>4.3598371927160793E-3</v>
      </c>
      <c r="Q120" s="1890"/>
    </row>
    <row r="121" spans="1:17">
      <c r="A121" s="1889" t="s">
        <v>2028</v>
      </c>
      <c r="B121" s="1889" t="s">
        <v>2070</v>
      </c>
      <c r="C121" s="1890" t="s">
        <v>2071</v>
      </c>
      <c r="D121" s="1890" t="s">
        <v>2413</v>
      </c>
      <c r="E121" s="1891">
        <f>'Calculation (table 3.2)'!E121</f>
        <v>0</v>
      </c>
      <c r="F121" s="1891">
        <f>'Calculation (table 3.2)'!F121</f>
        <v>0</v>
      </c>
      <c r="G121" s="1891">
        <f>'Calculation (table 3.2)'!G121</f>
        <v>50</v>
      </c>
      <c r="H121" s="1891">
        <f t="shared" si="5"/>
        <v>50</v>
      </c>
      <c r="I121" s="1891">
        <f>'Calculation (table 3.2)'!I121</f>
        <v>0</v>
      </c>
      <c r="J121" s="1892">
        <f t="shared" si="6"/>
        <v>0</v>
      </c>
      <c r="K121" s="1892">
        <f>'Calculation (table 3.2)'!K121</f>
        <v>50</v>
      </c>
      <c r="L121" s="1892">
        <f t="shared" si="7"/>
        <v>50</v>
      </c>
      <c r="M121" s="1893">
        <f>'Calculation (table 3.2)'!L121</f>
        <v>0</v>
      </c>
      <c r="N121" s="1894" t="str">
        <f t="shared" si="8"/>
        <v>NA</v>
      </c>
      <c r="O121" s="1892">
        <v>4.5194691153767522E-2</v>
      </c>
      <c r="P121" s="1892">
        <f t="shared" si="11"/>
        <v>4.5194691153767522E-2</v>
      </c>
      <c r="Q121" s="1890"/>
    </row>
    <row r="122" spans="1:17">
      <c r="A122" s="1889" t="s">
        <v>2072</v>
      </c>
      <c r="B122" s="1889" t="s">
        <v>2073</v>
      </c>
      <c r="C122" s="1890" t="s">
        <v>2074</v>
      </c>
      <c r="D122" s="1890" t="s">
        <v>84</v>
      </c>
      <c r="E122" s="1891">
        <f>'Calculation (table 3.2)'!E122</f>
        <v>9714.1986411679973</v>
      </c>
      <c r="F122" s="1891">
        <f>'Calculation (table 3.2)'!F122</f>
        <v>7891.6240362016451</v>
      </c>
      <c r="G122" s="1891">
        <f>'Calculation (table 3.2)'!G122</f>
        <v>20</v>
      </c>
      <c r="H122" s="1891">
        <f t="shared" si="5"/>
        <v>20</v>
      </c>
      <c r="I122" s="1891">
        <f>'Calculation (table 3.2)'!I122</f>
        <v>20</v>
      </c>
      <c r="J122" s="1892">
        <f t="shared" si="6"/>
        <v>20</v>
      </c>
      <c r="K122" s="1892">
        <f>'Calculation (table 3.2)'!K122</f>
        <v>28.284271247461902</v>
      </c>
      <c r="L122" s="1892">
        <f t="shared" si="7"/>
        <v>28.284271247461902</v>
      </c>
      <c r="M122" s="1893">
        <f>'Calculation (table 3.2)'!L122</f>
        <v>334.58025253513671</v>
      </c>
      <c r="N122" s="1894">
        <f t="shared" si="8"/>
        <v>-18.761965575239799</v>
      </c>
      <c r="O122" s="1892">
        <v>0.98709755059976978</v>
      </c>
      <c r="P122" s="1892">
        <f t="shared" si="11"/>
        <v>0.98709755059976978</v>
      </c>
      <c r="Q122" s="1890"/>
    </row>
    <row r="123" spans="1:17">
      <c r="A123" s="1889" t="s">
        <v>2072</v>
      </c>
      <c r="B123" s="1889" t="s">
        <v>2075</v>
      </c>
      <c r="C123" s="1890" t="s">
        <v>2076</v>
      </c>
      <c r="D123" s="1890" t="s">
        <v>84</v>
      </c>
      <c r="E123" s="1891">
        <f>'Calculation (table 3.2)'!E123</f>
        <v>577.19793570260026</v>
      </c>
      <c r="F123" s="1891">
        <f>'Calculation (table 3.2)'!F123</f>
        <v>443.09104086412026</v>
      </c>
      <c r="G123" s="1891">
        <f>'Calculation (table 3.2)'!G123</f>
        <v>20</v>
      </c>
      <c r="H123" s="1891">
        <f t="shared" si="5"/>
        <v>20</v>
      </c>
      <c r="I123" s="1891">
        <f>'Calculation (table 3.2)'!I123</f>
        <v>20</v>
      </c>
      <c r="J123" s="1892">
        <f t="shared" si="6"/>
        <v>20</v>
      </c>
      <c r="K123" s="1892">
        <f>'Calculation (table 3.2)'!K123</f>
        <v>28.284271247461902</v>
      </c>
      <c r="L123" s="1892">
        <f t="shared" si="7"/>
        <v>28.284271247461902</v>
      </c>
      <c r="M123" s="1893">
        <f>'Calculation (table 3.2)'!L123</f>
        <v>1.0547595554491958</v>
      </c>
      <c r="N123" s="1894">
        <f t="shared" si="8"/>
        <v>-23.234125859309767</v>
      </c>
      <c r="O123" s="1892">
        <v>0.4550600833254444</v>
      </c>
      <c r="P123" s="1892">
        <f t="shared" si="11"/>
        <v>0.4550600833254444</v>
      </c>
      <c r="Q123" s="1890"/>
    </row>
    <row r="124" spans="1:17">
      <c r="A124" s="1889" t="s">
        <v>2072</v>
      </c>
      <c r="B124" s="1889" t="s">
        <v>2075</v>
      </c>
      <c r="C124" s="1890" t="s">
        <v>2076</v>
      </c>
      <c r="D124" s="1890" t="s">
        <v>85</v>
      </c>
      <c r="E124" s="1891">
        <f>'Calculation (table 3.2)'!E124</f>
        <v>317.21786637873572</v>
      </c>
      <c r="F124" s="1891">
        <f>'Calculation (table 3.2)'!F124</f>
        <v>271.80578573792371</v>
      </c>
      <c r="G124" s="1891">
        <f>'Calculation (table 3.2)'!G124</f>
        <v>20</v>
      </c>
      <c r="H124" s="1891">
        <f t="shared" si="5"/>
        <v>20</v>
      </c>
      <c r="I124" s="1891">
        <f>'Calculation (table 3.2)'!I124</f>
        <v>50</v>
      </c>
      <c r="J124" s="1892">
        <f t="shared" si="6"/>
        <v>50</v>
      </c>
      <c r="K124" s="1892">
        <f>'Calculation (table 3.2)'!K124</f>
        <v>53.851648071345039</v>
      </c>
      <c r="L124" s="1892">
        <f t="shared" si="7"/>
        <v>53.851648071345039</v>
      </c>
      <c r="M124" s="1893">
        <f>'Calculation (table 3.2)'!L124</f>
        <v>1.4387751748776481</v>
      </c>
      <c r="N124" s="1894">
        <f t="shared" si="8"/>
        <v>-14.315738630746981</v>
      </c>
      <c r="O124" s="1892">
        <v>0.84310616959680573</v>
      </c>
      <c r="P124" s="1892">
        <f t="shared" si="11"/>
        <v>0.84310616959680573</v>
      </c>
      <c r="Q124" s="1890"/>
    </row>
    <row r="125" spans="1:17">
      <c r="A125" s="1889" t="s">
        <v>2072</v>
      </c>
      <c r="B125" s="1889" t="s">
        <v>2077</v>
      </c>
      <c r="C125" s="1890" t="s">
        <v>2078</v>
      </c>
      <c r="D125" s="1890" t="s">
        <v>85</v>
      </c>
      <c r="E125" s="1891">
        <f>'Calculation (table 3.2)'!E125</f>
        <v>1008.1732804050929</v>
      </c>
      <c r="F125" s="1891">
        <f>'Calculation (table 3.2)'!F125</f>
        <v>1569.699698806575</v>
      </c>
      <c r="G125" s="1891">
        <f>'Calculation (table 3.2)'!G125</f>
        <v>25</v>
      </c>
      <c r="H125" s="1891">
        <f t="shared" si="5"/>
        <v>25</v>
      </c>
      <c r="I125" s="1891">
        <f>'Calculation (table 3.2)'!I125</f>
        <v>30</v>
      </c>
      <c r="J125" s="1892">
        <f t="shared" si="6"/>
        <v>30</v>
      </c>
      <c r="K125" s="1892">
        <f>'Calculation (table 3.2)'!K125</f>
        <v>39.05124837953327</v>
      </c>
      <c r="L125" s="1892">
        <f t="shared" si="7"/>
        <v>39.05124837953327</v>
      </c>
      <c r="M125" s="1893">
        <f>'Calculation (table 3.2)'!L125</f>
        <v>25.23367686890569</v>
      </c>
      <c r="N125" s="1894">
        <f t="shared" si="8"/>
        <v>55.697411279919649</v>
      </c>
      <c r="O125" s="1892">
        <v>4.115582850457379</v>
      </c>
      <c r="P125" s="1892">
        <f t="shared" si="11"/>
        <v>4.115582850457379</v>
      </c>
      <c r="Q125" s="1890"/>
    </row>
    <row r="126" spans="1:17">
      <c r="A126" s="1889" t="s">
        <v>2072</v>
      </c>
      <c r="B126" s="1889" t="s">
        <v>2079</v>
      </c>
      <c r="C126" s="1890" t="s">
        <v>2080</v>
      </c>
      <c r="D126" s="1890" t="s">
        <v>85</v>
      </c>
      <c r="E126" s="1891">
        <f>'Calculation (table 3.2)'!E126</f>
        <v>218.65791546636703</v>
      </c>
      <c r="F126" s="1891">
        <f>'Calculation (table 3.2)'!F126</f>
        <v>241.95147194348121</v>
      </c>
      <c r="G126" s="1891">
        <f>'Calculation (table 3.2)'!G126</f>
        <v>25</v>
      </c>
      <c r="H126" s="1891">
        <f t="shared" si="5"/>
        <v>25</v>
      </c>
      <c r="I126" s="1891">
        <f>'Calculation (table 3.2)'!I126</f>
        <v>30</v>
      </c>
      <c r="J126" s="1892">
        <f t="shared" si="6"/>
        <v>30</v>
      </c>
      <c r="K126" s="1892">
        <f>'Calculation (table 3.2)'!K126</f>
        <v>39.05124837953327</v>
      </c>
      <c r="L126" s="1892">
        <f t="shared" si="7"/>
        <v>39.05124837953327</v>
      </c>
      <c r="M126" s="1893">
        <f>'Calculation (table 3.2)'!L126</f>
        <v>0.59952034349484595</v>
      </c>
      <c r="N126" s="1894">
        <f t="shared" si="8"/>
        <v>10.652967411416254</v>
      </c>
      <c r="O126" s="1892">
        <v>2.5423046383968413</v>
      </c>
      <c r="P126" s="1892">
        <f t="shared" si="11"/>
        <v>2.5423046383968413</v>
      </c>
      <c r="Q126" s="1890"/>
    </row>
    <row r="127" spans="1:17">
      <c r="A127" s="1889" t="s">
        <v>2072</v>
      </c>
      <c r="B127" s="1889" t="s">
        <v>2081</v>
      </c>
      <c r="C127" s="1890" t="s">
        <v>1751</v>
      </c>
      <c r="D127" s="1890" t="s">
        <v>84</v>
      </c>
      <c r="E127" s="1891">
        <f>'Calculation (table 3.2)'!E127</f>
        <v>38.039536827480184</v>
      </c>
      <c r="F127" s="1891">
        <f>'Calculation (table 3.2)'!F127</f>
        <v>43.874789404776422</v>
      </c>
      <c r="G127" s="1891">
        <f>'Calculation (table 3.2)'!G127</f>
        <v>55</v>
      </c>
      <c r="H127" s="1891">
        <f t="shared" si="5"/>
        <v>55</v>
      </c>
      <c r="I127" s="1891">
        <f>'Calculation (table 3.2)'!I127</f>
        <v>75</v>
      </c>
      <c r="J127" s="1892">
        <f t="shared" si="6"/>
        <v>75</v>
      </c>
      <c r="K127" s="1892">
        <f>'Calculation (table 3.2)'!K127</f>
        <v>93.005376188691372</v>
      </c>
      <c r="L127" s="1892">
        <f t="shared" si="7"/>
        <v>93.005376188691372</v>
      </c>
      <c r="M127" s="1893">
        <f>'Calculation (table 3.2)'!L127</f>
        <v>0.11182109508880587</v>
      </c>
      <c r="N127" s="1894">
        <f t="shared" si="8"/>
        <v>15.339967475841576</v>
      </c>
      <c r="O127" s="1892">
        <v>2.6344426450330138E-3</v>
      </c>
      <c r="P127" s="1892">
        <f t="shared" si="11"/>
        <v>2.6344426450330138E-3</v>
      </c>
      <c r="Q127" s="1890"/>
    </row>
    <row r="128" spans="1:17">
      <c r="A128" s="1889" t="s">
        <v>2072</v>
      </c>
      <c r="B128" s="1889" t="s">
        <v>2081</v>
      </c>
      <c r="C128" s="1890" t="s">
        <v>1751</v>
      </c>
      <c r="D128" s="1890" t="s">
        <v>85</v>
      </c>
      <c r="E128" s="1891">
        <f>'Calculation (table 3.2)'!E128</f>
        <v>9.8983598689153922</v>
      </c>
      <c r="F128" s="1891">
        <f>'Calculation (table 3.2)'!F128</f>
        <v>10.765573326171992</v>
      </c>
      <c r="G128" s="1891">
        <f>'Calculation (table 3.2)'!G128</f>
        <v>45</v>
      </c>
      <c r="H128" s="1891">
        <f t="shared" si="5"/>
        <v>45</v>
      </c>
      <c r="I128" s="1891">
        <f>'Calculation (table 3.2)'!I128</f>
        <v>75</v>
      </c>
      <c r="J128" s="1892">
        <f t="shared" si="6"/>
        <v>75</v>
      </c>
      <c r="K128" s="1892">
        <f>'Calculation (table 3.2)'!K128</f>
        <v>87.464278422679513</v>
      </c>
      <c r="L128" s="1892">
        <f t="shared" si="7"/>
        <v>87.464278422679513</v>
      </c>
      <c r="M128" s="1893">
        <f>'Calculation (table 3.2)'!L128</f>
        <v>5.9540613557229755E-3</v>
      </c>
      <c r="N128" s="1894">
        <f t="shared" si="8"/>
        <v>8.7611833550321769</v>
      </c>
      <c r="O128" s="1892">
        <v>6.6611441321374608E-4</v>
      </c>
      <c r="P128" s="1892">
        <f t="shared" si="11"/>
        <v>6.6611441321374608E-4</v>
      </c>
      <c r="Q128" s="1890"/>
    </row>
    <row r="129" spans="1:17">
      <c r="A129" s="1889" t="s">
        <v>2072</v>
      </c>
      <c r="B129" s="1889" t="s">
        <v>2082</v>
      </c>
      <c r="C129" s="1890" t="s">
        <v>2083</v>
      </c>
      <c r="D129" s="1890" t="s">
        <v>2412</v>
      </c>
      <c r="E129" s="1891">
        <f>'Calculation (table 3.2)'!E129</f>
        <v>11.635595764490555</v>
      </c>
      <c r="F129" s="1891">
        <f>'Calculation (table 3.2)'!F129</f>
        <v>21.429287431628282</v>
      </c>
      <c r="G129" s="1891">
        <f>'Calculation (table 3.2)'!G129</f>
        <v>60</v>
      </c>
      <c r="H129" s="1891">
        <f t="shared" si="5"/>
        <v>60</v>
      </c>
      <c r="I129" s="1891">
        <f>'Calculation (table 3.2)'!I129</f>
        <v>20</v>
      </c>
      <c r="J129" s="1892">
        <f t="shared" si="6"/>
        <v>20</v>
      </c>
      <c r="K129" s="1892">
        <f>'Calculation (table 3.2)'!K129</f>
        <v>63.245553203367585</v>
      </c>
      <c r="L129" s="1892">
        <f t="shared" si="7"/>
        <v>63.245553203367585</v>
      </c>
      <c r="M129" s="1893">
        <f>'Calculation (table 3.2)'!L129</f>
        <v>1.233539313768813E-2</v>
      </c>
      <c r="N129" s="1894">
        <f t="shared" si="8"/>
        <v>84.170092063751994</v>
      </c>
      <c r="O129" s="1892">
        <v>3.1426500513020983E-2</v>
      </c>
      <c r="P129" s="1892">
        <f t="shared" si="11"/>
        <v>3.1426500513020983E-2</v>
      </c>
      <c r="Q129" s="1890"/>
    </row>
    <row r="130" spans="1:17">
      <c r="A130" s="1889" t="s">
        <v>2072</v>
      </c>
      <c r="B130" s="1889" t="s">
        <v>2084</v>
      </c>
      <c r="C130" s="1890" t="s">
        <v>2085</v>
      </c>
      <c r="D130" s="1890" t="s">
        <v>2412</v>
      </c>
      <c r="E130" s="1891">
        <f>'Calculation (table 3.2)'!E130</f>
        <v>97.782993733333342</v>
      </c>
      <c r="F130" s="1891">
        <f>'Calculation (table 3.2)'!F130</f>
        <v>208.83837333333335</v>
      </c>
      <c r="G130" s="1891">
        <f>'Calculation (table 3.2)'!G130</f>
        <v>25</v>
      </c>
      <c r="H130" s="1891">
        <f t="shared" si="5"/>
        <v>25</v>
      </c>
      <c r="I130" s="1891">
        <f>'Calculation (table 3.2)'!I130</f>
        <v>30</v>
      </c>
      <c r="J130" s="1892">
        <f t="shared" si="6"/>
        <v>30</v>
      </c>
      <c r="K130" s="1892">
        <f>'Calculation (table 3.2)'!K130</f>
        <v>39.05124837953327</v>
      </c>
      <c r="L130" s="1892">
        <f t="shared" si="7"/>
        <v>39.05124837953327</v>
      </c>
      <c r="M130" s="1893">
        <f>'Calculation (table 3.2)'!L130</f>
        <v>0.44665067130626512</v>
      </c>
      <c r="N130" s="1894">
        <f t="shared" si="8"/>
        <v>113.57330693194172</v>
      </c>
      <c r="O130" s="1892">
        <v>1.0223378090756796E-4</v>
      </c>
      <c r="P130" s="1892">
        <f t="shared" si="11"/>
        <v>1.0223378090756796E-4</v>
      </c>
      <c r="Q130" s="1890"/>
    </row>
    <row r="131" spans="1:17">
      <c r="A131" s="1889" t="s">
        <v>2072</v>
      </c>
      <c r="B131" s="1889" t="s">
        <v>2086</v>
      </c>
      <c r="C131" s="1890" t="s">
        <v>2087</v>
      </c>
      <c r="D131" s="1890" t="s">
        <v>2412</v>
      </c>
      <c r="E131" s="1891">
        <f>'Calculation (table 3.2)'!E131</f>
        <v>0</v>
      </c>
      <c r="F131" s="1891">
        <f>'Calculation (table 3.2)'!F131</f>
        <v>0</v>
      </c>
      <c r="G131" s="1891">
        <f>'Calculation (table 3.2)'!G131</f>
        <v>30</v>
      </c>
      <c r="H131" s="1891">
        <f t="shared" si="5"/>
        <v>30</v>
      </c>
      <c r="I131" s="1891">
        <f>'Calculation (table 3.2)'!I131</f>
        <v>0</v>
      </c>
      <c r="J131" s="1892">
        <f t="shared" si="6"/>
        <v>0</v>
      </c>
      <c r="K131" s="1892">
        <f>'Calculation (table 3.2)'!K131</f>
        <v>30</v>
      </c>
      <c r="L131" s="1892">
        <f t="shared" si="7"/>
        <v>30</v>
      </c>
      <c r="M131" s="1893">
        <f>'Calculation (table 3.2)'!L131</f>
        <v>0</v>
      </c>
      <c r="N131" s="1894" t="str">
        <f t="shared" si="8"/>
        <v>NA</v>
      </c>
      <c r="O131" s="1892">
        <v>26.492311169972357</v>
      </c>
      <c r="P131" s="1892">
        <f t="shared" si="11"/>
        <v>26.492311169972357</v>
      </c>
      <c r="Q131" s="1890"/>
    </row>
    <row r="132" spans="1:17">
      <c r="A132" s="1889" t="s">
        <v>2072</v>
      </c>
      <c r="B132" s="1889" t="s">
        <v>2088</v>
      </c>
      <c r="C132" s="1890" t="s">
        <v>2089</v>
      </c>
      <c r="D132" s="1890" t="s">
        <v>2412</v>
      </c>
      <c r="E132" s="1891">
        <f>'Calculation (table 3.2)'!E132</f>
        <v>0</v>
      </c>
      <c r="F132" s="1891">
        <f>'Calculation (table 3.2)'!F132</f>
        <v>0</v>
      </c>
      <c r="G132" s="1891">
        <f>'Calculation (table 3.2)'!G132</f>
        <v>75</v>
      </c>
      <c r="H132" s="1891">
        <f t="shared" ref="H132:H195" si="12">G132</f>
        <v>75</v>
      </c>
      <c r="I132" s="1891">
        <f>'Calculation (table 3.2)'!I132</f>
        <v>0</v>
      </c>
      <c r="J132" s="1892">
        <f t="shared" ref="J132:J195" si="13">I132</f>
        <v>0</v>
      </c>
      <c r="K132" s="1892">
        <f>'Calculation (table 3.2)'!K132</f>
        <v>75</v>
      </c>
      <c r="L132" s="1892">
        <f t="shared" ref="L132:L195" si="14">K132</f>
        <v>75</v>
      </c>
      <c r="M132" s="1893">
        <f>'Calculation (table 3.2)'!L132</f>
        <v>0</v>
      </c>
      <c r="N132" s="1894" t="str">
        <f t="shared" ref="N132:N195" si="15">IF(E132=0,"NA",100*(F132-E132)/E132)</f>
        <v>NA</v>
      </c>
      <c r="O132" s="1892">
        <v>0.61530383475818551</v>
      </c>
      <c r="P132" s="1892">
        <f t="shared" si="11"/>
        <v>0.61530383475818551</v>
      </c>
      <c r="Q132" s="1890"/>
    </row>
    <row r="133" spans="1:17">
      <c r="A133" s="1889" t="s">
        <v>2072</v>
      </c>
      <c r="B133" s="1889" t="s">
        <v>2090</v>
      </c>
      <c r="C133" s="1890" t="s">
        <v>2091</v>
      </c>
      <c r="D133" s="1890" t="s">
        <v>2412</v>
      </c>
      <c r="E133" s="1891">
        <f>'Calculation (table 3.2)'!E133</f>
        <v>0</v>
      </c>
      <c r="F133" s="1891">
        <f>'Calculation (table 3.2)'!F133</f>
        <v>0</v>
      </c>
      <c r="G133" s="1891">
        <f>'Calculation (table 3.2)'!G133</f>
        <v>150</v>
      </c>
      <c r="H133" s="1891">
        <f t="shared" si="12"/>
        <v>150</v>
      </c>
      <c r="I133" s="1891">
        <f>'Calculation (table 3.2)'!I133</f>
        <v>0</v>
      </c>
      <c r="J133" s="1892">
        <f t="shared" si="13"/>
        <v>0</v>
      </c>
      <c r="K133" s="1892">
        <f>'Calculation (table 3.2)'!K133</f>
        <v>150</v>
      </c>
      <c r="L133" s="1892">
        <f t="shared" si="14"/>
        <v>150</v>
      </c>
      <c r="M133" s="1893">
        <f>'Calculation (table 3.2)'!L133</f>
        <v>0</v>
      </c>
      <c r="N133" s="1894" t="str">
        <f t="shared" si="15"/>
        <v>NA</v>
      </c>
      <c r="O133" s="1892">
        <v>17.559525068311778</v>
      </c>
      <c r="P133" s="1892">
        <f t="shared" si="11"/>
        <v>17.559525068311778</v>
      </c>
      <c r="Q133" s="1890"/>
    </row>
    <row r="134" spans="1:17">
      <c r="A134" s="1889" t="s">
        <v>2072</v>
      </c>
      <c r="B134" s="1889" t="s">
        <v>2092</v>
      </c>
      <c r="C134" s="1890" t="s">
        <v>2093</v>
      </c>
      <c r="D134" s="1890" t="s">
        <v>2412</v>
      </c>
      <c r="E134" s="1891">
        <f>'Calculation (table 3.2)'!E134</f>
        <v>0</v>
      </c>
      <c r="F134" s="1891">
        <f>'Calculation (table 3.2)'!F134</f>
        <v>0</v>
      </c>
      <c r="G134" s="1891">
        <f>'Calculation (table 3.2)'!G134</f>
        <v>100</v>
      </c>
      <c r="H134" s="1891">
        <f t="shared" si="12"/>
        <v>100</v>
      </c>
      <c r="I134" s="1891">
        <f>'Calculation (table 3.2)'!I134</f>
        <v>0</v>
      </c>
      <c r="J134" s="1892">
        <f t="shared" si="13"/>
        <v>0</v>
      </c>
      <c r="K134" s="1892">
        <f>'Calculation (table 3.2)'!K134</f>
        <v>100</v>
      </c>
      <c r="L134" s="1892">
        <f t="shared" si="14"/>
        <v>100</v>
      </c>
      <c r="M134" s="1893">
        <f>'Calculation (table 3.2)'!L134</f>
        <v>0</v>
      </c>
      <c r="N134" s="1894" t="str">
        <f t="shared" si="15"/>
        <v>NA</v>
      </c>
      <c r="O134" s="1892">
        <v>5.9643877064725555</v>
      </c>
      <c r="P134" s="1892">
        <f t="shared" si="11"/>
        <v>5.9643877064725555</v>
      </c>
      <c r="Q134" s="1890"/>
    </row>
    <row r="135" spans="1:17">
      <c r="A135" s="1889" t="s">
        <v>2072</v>
      </c>
      <c r="B135" s="1889" t="s">
        <v>2094</v>
      </c>
      <c r="C135" s="1890" t="s">
        <v>2095</v>
      </c>
      <c r="D135" s="1890" t="s">
        <v>2412</v>
      </c>
      <c r="E135" s="1891">
        <f>'Calculation (table 3.2)'!E135</f>
        <v>0</v>
      </c>
      <c r="F135" s="1891">
        <f>'Calculation (table 3.2)'!F135</f>
        <v>0</v>
      </c>
      <c r="G135" s="1891">
        <f>'Calculation (table 3.2)'!G135</f>
        <v>250</v>
      </c>
      <c r="H135" s="1891">
        <f t="shared" si="12"/>
        <v>250</v>
      </c>
      <c r="I135" s="1891">
        <f>'Calculation (table 3.2)'!I135</f>
        <v>0</v>
      </c>
      <c r="J135" s="1892">
        <f t="shared" si="13"/>
        <v>0</v>
      </c>
      <c r="K135" s="1892">
        <f>'Calculation (table 3.2)'!K135</f>
        <v>250</v>
      </c>
      <c r="L135" s="1892">
        <f t="shared" si="14"/>
        <v>250</v>
      </c>
      <c r="M135" s="1893">
        <f>'Calculation (table 3.2)'!L135</f>
        <v>0</v>
      </c>
      <c r="N135" s="1894" t="str">
        <f t="shared" si="15"/>
        <v>NA</v>
      </c>
      <c r="O135" s="1892">
        <v>2.6727656308169956</v>
      </c>
      <c r="P135" s="1892">
        <f t="shared" si="11"/>
        <v>2.6727656308169956</v>
      </c>
      <c r="Q135" s="1890"/>
    </row>
    <row r="136" spans="1:17">
      <c r="A136" s="1889" t="s">
        <v>2072</v>
      </c>
      <c r="B136" s="1889" t="s">
        <v>2096</v>
      </c>
      <c r="C136" s="1890" t="s">
        <v>2097</v>
      </c>
      <c r="D136" s="1890" t="s">
        <v>2412</v>
      </c>
      <c r="E136" s="1891">
        <f>'Calculation (table 3.2)'!E136</f>
        <v>0</v>
      </c>
      <c r="F136" s="1891">
        <f>'Calculation (table 3.2)'!F136</f>
        <v>0</v>
      </c>
      <c r="G136" s="1891">
        <f>'Calculation (table 3.2)'!G136</f>
        <v>130</v>
      </c>
      <c r="H136" s="1891">
        <f t="shared" si="12"/>
        <v>130</v>
      </c>
      <c r="I136" s="1891">
        <f>'Calculation (table 3.2)'!I136</f>
        <v>0</v>
      </c>
      <c r="J136" s="1892">
        <f t="shared" si="13"/>
        <v>0</v>
      </c>
      <c r="K136" s="1892">
        <f>'Calculation (table 3.2)'!K136</f>
        <v>130</v>
      </c>
      <c r="L136" s="1892">
        <f t="shared" si="14"/>
        <v>130</v>
      </c>
      <c r="M136" s="1893">
        <f>'Calculation (table 3.2)'!L136</f>
        <v>0</v>
      </c>
      <c r="N136" s="1894" t="str">
        <f t="shared" si="15"/>
        <v>NA</v>
      </c>
      <c r="O136" s="1892">
        <v>0.75709978119468568</v>
      </c>
      <c r="P136" s="1892">
        <f t="shared" si="11"/>
        <v>0.75709978119468568</v>
      </c>
      <c r="Q136" s="1890"/>
    </row>
    <row r="137" spans="1:17">
      <c r="A137" s="1889" t="s">
        <v>2072</v>
      </c>
      <c r="B137" s="1889" t="s">
        <v>2098</v>
      </c>
      <c r="C137" s="1890" t="s">
        <v>2099</v>
      </c>
      <c r="D137" s="1890" t="s">
        <v>2412</v>
      </c>
      <c r="E137" s="1891">
        <f>'Calculation (table 3.2)'!E137</f>
        <v>0</v>
      </c>
      <c r="F137" s="1891">
        <f>'Calculation (table 3.2)'!F137</f>
        <v>0</v>
      </c>
      <c r="G137" s="1891">
        <f>'Calculation (table 3.2)'!G137</f>
        <v>150</v>
      </c>
      <c r="H137" s="1891">
        <f t="shared" si="12"/>
        <v>150</v>
      </c>
      <c r="I137" s="1891">
        <f>'Calculation (table 3.2)'!I137</f>
        <v>0</v>
      </c>
      <c r="J137" s="1892">
        <f t="shared" si="13"/>
        <v>0</v>
      </c>
      <c r="K137" s="1892">
        <f>'Calculation (table 3.2)'!K137</f>
        <v>150</v>
      </c>
      <c r="L137" s="1892">
        <f t="shared" si="14"/>
        <v>150</v>
      </c>
      <c r="M137" s="1893">
        <f>'Calculation (table 3.2)'!L137</f>
        <v>0</v>
      </c>
      <c r="N137" s="1894" t="str">
        <f t="shared" si="15"/>
        <v>NA</v>
      </c>
      <c r="O137" s="1892">
        <v>7.2645855472098146</v>
      </c>
      <c r="P137" s="1892">
        <f t="shared" si="11"/>
        <v>7.2645855472098146</v>
      </c>
      <c r="Q137" s="1890"/>
    </row>
    <row r="138" spans="1:17">
      <c r="A138" s="1889" t="s">
        <v>2072</v>
      </c>
      <c r="B138" s="1889" t="s">
        <v>2100</v>
      </c>
      <c r="C138" s="1890" t="s">
        <v>2101</v>
      </c>
      <c r="D138" s="1890" t="s">
        <v>2412</v>
      </c>
      <c r="E138" s="1891">
        <f>'Calculation (table 3.2)'!E138</f>
        <v>0</v>
      </c>
      <c r="F138" s="1891">
        <f>'Calculation (table 3.2)'!F138</f>
        <v>0</v>
      </c>
      <c r="G138" s="1891">
        <f>'Calculation (table 3.2)'!G138</f>
        <v>120</v>
      </c>
      <c r="H138" s="1891">
        <f t="shared" si="12"/>
        <v>120</v>
      </c>
      <c r="I138" s="1891">
        <f>'Calculation (table 3.2)'!I138</f>
        <v>0</v>
      </c>
      <c r="J138" s="1892">
        <f t="shared" si="13"/>
        <v>0</v>
      </c>
      <c r="K138" s="1892">
        <f>'Calculation (table 3.2)'!K138</f>
        <v>120</v>
      </c>
      <c r="L138" s="1892">
        <f t="shared" si="14"/>
        <v>120</v>
      </c>
      <c r="M138" s="1893">
        <f>'Calculation (table 3.2)'!L138</f>
        <v>0</v>
      </c>
      <c r="N138" s="1894" t="str">
        <f t="shared" si="15"/>
        <v>NA</v>
      </c>
      <c r="O138" s="1892">
        <v>0.40830407757673853</v>
      </c>
      <c r="P138" s="1892">
        <f t="shared" si="11"/>
        <v>0.40830407757673853</v>
      </c>
      <c r="Q138" s="1890"/>
    </row>
    <row r="139" spans="1:17">
      <c r="A139" s="1889" t="s">
        <v>2072</v>
      </c>
      <c r="B139" s="1889" t="s">
        <v>2102</v>
      </c>
      <c r="C139" s="1890" t="s">
        <v>2103</v>
      </c>
      <c r="D139" s="1890" t="s">
        <v>2412</v>
      </c>
      <c r="E139" s="1891">
        <f>'Calculation (table 3.2)'!E139</f>
        <v>0</v>
      </c>
      <c r="F139" s="1891">
        <f>'Calculation (table 3.2)'!F139</f>
        <v>0</v>
      </c>
      <c r="G139" s="1891">
        <f>'Calculation (table 3.2)'!G139</f>
        <v>0</v>
      </c>
      <c r="H139" s="1891">
        <f t="shared" si="12"/>
        <v>0</v>
      </c>
      <c r="I139" s="1891">
        <f>'Calculation (table 3.2)'!I139</f>
        <v>0</v>
      </c>
      <c r="J139" s="1892">
        <f t="shared" si="13"/>
        <v>0</v>
      </c>
      <c r="K139" s="1892">
        <f>'Calculation (table 3.2)'!K139</f>
        <v>0</v>
      </c>
      <c r="L139" s="1892">
        <f t="shared" si="14"/>
        <v>0</v>
      </c>
      <c r="M139" s="1893">
        <f>'Calculation (table 3.2)'!L139</f>
        <v>0</v>
      </c>
      <c r="N139" s="1894" t="str">
        <f t="shared" si="15"/>
        <v>NA</v>
      </c>
      <c r="O139" s="1892">
        <v>0</v>
      </c>
      <c r="P139" s="1892">
        <f t="shared" si="11"/>
        <v>0</v>
      </c>
      <c r="Q139" s="1890"/>
    </row>
    <row r="140" spans="1:17">
      <c r="A140" s="1889" t="s">
        <v>2072</v>
      </c>
      <c r="B140" s="1889" t="s">
        <v>2104</v>
      </c>
      <c r="C140" s="1890" t="s">
        <v>2105</v>
      </c>
      <c r="D140" s="1890" t="s">
        <v>2412</v>
      </c>
      <c r="E140" s="1891">
        <f>'Calculation (table 3.2)'!E140</f>
        <v>0</v>
      </c>
      <c r="F140" s="1891">
        <f>'Calculation (table 3.2)'!F140</f>
        <v>0</v>
      </c>
      <c r="G140" s="1891">
        <f>'Calculation (table 3.2)'!G140</f>
        <v>75</v>
      </c>
      <c r="H140" s="1891">
        <f t="shared" si="12"/>
        <v>75</v>
      </c>
      <c r="I140" s="1891">
        <f>'Calculation (table 3.2)'!I140</f>
        <v>0</v>
      </c>
      <c r="J140" s="1892">
        <f t="shared" si="13"/>
        <v>0</v>
      </c>
      <c r="K140" s="1892">
        <f>'Calculation (table 3.2)'!K140</f>
        <v>75</v>
      </c>
      <c r="L140" s="1892">
        <f t="shared" si="14"/>
        <v>75</v>
      </c>
      <c r="M140" s="1893">
        <f>'Calculation (table 3.2)'!L140</f>
        <v>0</v>
      </c>
      <c r="N140" s="1894" t="str">
        <f t="shared" si="15"/>
        <v>NA</v>
      </c>
      <c r="O140" s="1892">
        <v>1.0565114400122348</v>
      </c>
      <c r="P140" s="1892">
        <f t="shared" si="11"/>
        <v>1.0565114400122348</v>
      </c>
      <c r="Q140" s="1890"/>
    </row>
    <row r="141" spans="1:17">
      <c r="A141" s="1889" t="s">
        <v>2072</v>
      </c>
      <c r="B141" s="1889" t="s">
        <v>2106</v>
      </c>
      <c r="C141" s="1890" t="s">
        <v>2107</v>
      </c>
      <c r="D141" s="1890" t="s">
        <v>2412</v>
      </c>
      <c r="E141" s="1891">
        <f>'Calculation (table 3.2)'!E141</f>
        <v>0</v>
      </c>
      <c r="F141" s="1891">
        <f>'Calculation (table 3.2)'!F141</f>
        <v>0</v>
      </c>
      <c r="G141" s="1891">
        <f>'Calculation (table 3.2)'!G141</f>
        <v>50</v>
      </c>
      <c r="H141" s="1891">
        <f t="shared" si="12"/>
        <v>50</v>
      </c>
      <c r="I141" s="1891">
        <f>'Calculation (table 3.2)'!I141</f>
        <v>0</v>
      </c>
      <c r="J141" s="1892">
        <f t="shared" si="13"/>
        <v>0</v>
      </c>
      <c r="K141" s="1892">
        <f>'Calculation (table 3.2)'!K141</f>
        <v>50</v>
      </c>
      <c r="L141" s="1892">
        <f t="shared" si="14"/>
        <v>50</v>
      </c>
      <c r="M141" s="1893">
        <f>'Calculation (table 3.2)'!L141</f>
        <v>0</v>
      </c>
      <c r="N141" s="1894" t="str">
        <f t="shared" si="15"/>
        <v>NA</v>
      </c>
      <c r="O141" s="1892">
        <v>4.4956861386053815</v>
      </c>
      <c r="P141" s="1892">
        <f t="shared" si="11"/>
        <v>4.4956861386053815</v>
      </c>
      <c r="Q141" s="1890"/>
    </row>
    <row r="142" spans="1:17">
      <c r="A142" s="1889" t="s">
        <v>2072</v>
      </c>
      <c r="B142" s="1889" t="s">
        <v>2077</v>
      </c>
      <c r="C142" s="1890" t="s">
        <v>2108</v>
      </c>
      <c r="D142" s="1890" t="s">
        <v>85</v>
      </c>
      <c r="E142" s="1891">
        <f>'Calculation (table 3.2)'!E142</f>
        <v>319.66618669920467</v>
      </c>
      <c r="F142" s="1891">
        <f>'Calculation (table 3.2)'!F142</f>
        <v>909.17785522605357</v>
      </c>
      <c r="G142" s="1891">
        <f>'Calculation (table 3.2)'!G142</f>
        <v>25</v>
      </c>
      <c r="H142" s="1891">
        <f t="shared" si="12"/>
        <v>25</v>
      </c>
      <c r="I142" s="1891">
        <f>'Calculation (table 3.2)'!I142</f>
        <v>30</v>
      </c>
      <c r="J142" s="1892">
        <f t="shared" si="13"/>
        <v>30</v>
      </c>
      <c r="K142" s="1892">
        <f>'Calculation (table 3.2)'!K142</f>
        <v>39.05124837953327</v>
      </c>
      <c r="L142" s="1892">
        <f t="shared" si="14"/>
        <v>39.05124837953327</v>
      </c>
      <c r="M142" s="1893">
        <f>'Calculation (table 3.2)'!L142</f>
        <v>8.465353254837634</v>
      </c>
      <c r="N142" s="1894">
        <f t="shared" si="15"/>
        <v>184.41477173860741</v>
      </c>
      <c r="O142" s="1892">
        <v>2.1015776172307984E-2</v>
      </c>
      <c r="P142" s="1892">
        <f t="shared" si="11"/>
        <v>2.1015776172307984E-2</v>
      </c>
      <c r="Q142" s="1890"/>
    </row>
    <row r="143" spans="1:17">
      <c r="A143" s="1889" t="s">
        <v>2072</v>
      </c>
      <c r="B143" s="1889" t="s">
        <v>2077</v>
      </c>
      <c r="C143" s="1890" t="s">
        <v>2109</v>
      </c>
      <c r="D143" s="1890" t="s">
        <v>84</v>
      </c>
      <c r="E143" s="1891">
        <f>'Calculation (table 3.2)'!E143</f>
        <v>0</v>
      </c>
      <c r="F143" s="1891">
        <f>'Calculation (table 3.2)'!F143</f>
        <v>0</v>
      </c>
      <c r="G143" s="1891">
        <f>'Calculation (table 3.2)'!G143</f>
        <v>100</v>
      </c>
      <c r="H143" s="1891">
        <f t="shared" si="12"/>
        <v>100</v>
      </c>
      <c r="I143" s="1891">
        <f>'Calculation (table 3.2)'!I143</f>
        <v>100</v>
      </c>
      <c r="J143" s="1892">
        <f t="shared" si="13"/>
        <v>100</v>
      </c>
      <c r="K143" s="1892">
        <f>'Calculation (table 3.2)'!K143</f>
        <v>141.42135623730951</v>
      </c>
      <c r="L143" s="1892">
        <f t="shared" si="14"/>
        <v>141.42135623730951</v>
      </c>
      <c r="M143" s="1893">
        <f>'Calculation (table 3.2)'!L143</f>
        <v>0</v>
      </c>
      <c r="N143" s="1894" t="str">
        <f t="shared" si="15"/>
        <v>NA</v>
      </c>
      <c r="O143" s="1892">
        <v>3.2074579643948673</v>
      </c>
      <c r="P143" s="1892">
        <f>O143</f>
        <v>3.2074579643948673</v>
      </c>
      <c r="Q143" s="1890"/>
    </row>
    <row r="144" spans="1:17">
      <c r="A144" s="1889" t="s">
        <v>2072</v>
      </c>
      <c r="B144" s="1889" t="s">
        <v>2077</v>
      </c>
      <c r="C144" s="1890" t="s">
        <v>2109</v>
      </c>
      <c r="D144" s="1890" t="s">
        <v>85</v>
      </c>
      <c r="E144" s="1891">
        <f>'Calculation (table 3.2)'!E144</f>
        <v>5.6634036887999999</v>
      </c>
      <c r="F144" s="1891">
        <f>'Calculation (table 3.2)'!F144</f>
        <v>10.994886282285714</v>
      </c>
      <c r="G144" s="1891">
        <f>'Calculation (table 3.2)'!G144</f>
        <v>80</v>
      </c>
      <c r="H144" s="1891">
        <f t="shared" si="12"/>
        <v>80</v>
      </c>
      <c r="I144" s="1891">
        <f>'Calculation (table 3.2)'!I144</f>
        <v>50</v>
      </c>
      <c r="J144" s="1892">
        <f t="shared" si="13"/>
        <v>50</v>
      </c>
      <c r="K144" s="1892">
        <f>'Calculation (table 3.2)'!K144</f>
        <v>94.339811320566042</v>
      </c>
      <c r="L144" s="1892">
        <f t="shared" si="14"/>
        <v>94.339811320566042</v>
      </c>
      <c r="M144" s="1893">
        <f>'Calculation (table 3.2)'!L144</f>
        <v>7.2251860421966574E-3</v>
      </c>
      <c r="N144" s="1894">
        <f t="shared" si="15"/>
        <v>94.139194139194132</v>
      </c>
      <c r="O144" s="1892">
        <v>4.2324749204985013</v>
      </c>
      <c r="P144" s="1892">
        <f t="shared" ref="P144:P174" si="16">O144</f>
        <v>4.2324749204985013</v>
      </c>
      <c r="Q144" s="1890"/>
    </row>
    <row r="145" spans="1:17">
      <c r="A145" s="1889" t="s">
        <v>2072</v>
      </c>
      <c r="B145" s="1889" t="s">
        <v>2077</v>
      </c>
      <c r="C145" s="1890" t="s">
        <v>2110</v>
      </c>
      <c r="D145" s="1890" t="s">
        <v>85</v>
      </c>
      <c r="E145" s="1891">
        <f>'Calculation (table 3.2)'!E145</f>
        <v>0</v>
      </c>
      <c r="F145" s="1891">
        <f>'Calculation (table 3.2)'!F145</f>
        <v>0</v>
      </c>
      <c r="G145" s="1891">
        <f>'Calculation (table 3.2)'!G145</f>
        <v>10</v>
      </c>
      <c r="H145" s="1891">
        <f t="shared" si="12"/>
        <v>10</v>
      </c>
      <c r="I145" s="1891">
        <f>'Calculation (table 3.2)'!I145</f>
        <v>200</v>
      </c>
      <c r="J145" s="1892">
        <f t="shared" si="13"/>
        <v>200</v>
      </c>
      <c r="K145" s="1892">
        <f>'Calculation (table 3.2)'!K145</f>
        <v>200.24984394500785</v>
      </c>
      <c r="L145" s="1892">
        <f t="shared" si="14"/>
        <v>200.24984394500785</v>
      </c>
      <c r="M145" s="1893">
        <f>'Calculation (table 3.2)'!L145</f>
        <v>0</v>
      </c>
      <c r="N145" s="1894" t="str">
        <f t="shared" si="15"/>
        <v>NA</v>
      </c>
      <c r="O145" s="1892">
        <v>7.6926408946630553E-2</v>
      </c>
      <c r="P145" s="1892">
        <f t="shared" si="16"/>
        <v>7.6926408946630553E-2</v>
      </c>
      <c r="Q145" s="1890"/>
    </row>
    <row r="146" spans="1:17">
      <c r="A146" s="1889" t="s">
        <v>2072</v>
      </c>
      <c r="B146" s="1889" t="s">
        <v>2079</v>
      </c>
      <c r="C146" s="1890" t="s">
        <v>2111</v>
      </c>
      <c r="D146" s="1890" t="s">
        <v>85</v>
      </c>
      <c r="E146" s="1891">
        <f>'Calculation (table 3.2)'!E146</f>
        <v>414.91531047305926</v>
      </c>
      <c r="F146" s="1891">
        <f>'Calculation (table 3.2)'!F146</f>
        <v>524.95558067329853</v>
      </c>
      <c r="G146" s="1891">
        <f>'Calculation (table 3.2)'!G146</f>
        <v>25</v>
      </c>
      <c r="H146" s="1891">
        <f t="shared" si="12"/>
        <v>25</v>
      </c>
      <c r="I146" s="1891">
        <f>'Calculation (table 3.2)'!I146</f>
        <v>30</v>
      </c>
      <c r="J146" s="1892">
        <f t="shared" si="13"/>
        <v>30</v>
      </c>
      <c r="K146" s="1892">
        <f>'Calculation (table 3.2)'!K146</f>
        <v>39.05124837953327</v>
      </c>
      <c r="L146" s="1892">
        <f t="shared" si="14"/>
        <v>39.05124837953327</v>
      </c>
      <c r="M146" s="1893">
        <f>'Calculation (table 3.2)'!L146</f>
        <v>2.8222306327066744</v>
      </c>
      <c r="N146" s="1894">
        <f t="shared" si="15"/>
        <v>26.521139958604699</v>
      </c>
      <c r="O146" s="1892">
        <v>8.0182536871418412E-3</v>
      </c>
      <c r="P146" s="1892">
        <f t="shared" si="16"/>
        <v>8.0182536871418412E-3</v>
      </c>
      <c r="Q146" s="1890"/>
    </row>
    <row r="147" spans="1:17">
      <c r="A147" s="1889" t="s">
        <v>2072</v>
      </c>
      <c r="B147" s="1889" t="s">
        <v>2112</v>
      </c>
      <c r="C147" s="1890" t="s">
        <v>2113</v>
      </c>
      <c r="D147" s="1890" t="s">
        <v>2412</v>
      </c>
      <c r="E147" s="1891">
        <f>'Calculation (table 3.2)'!E147</f>
        <v>0</v>
      </c>
      <c r="F147" s="1891">
        <f>'Calculation (table 3.2)'!F147</f>
        <v>0</v>
      </c>
      <c r="G147" s="1891">
        <f>'Calculation (table 3.2)'!G147</f>
        <v>10</v>
      </c>
      <c r="H147" s="1891">
        <f t="shared" si="12"/>
        <v>10</v>
      </c>
      <c r="I147" s="1891">
        <f>'Calculation (table 3.2)'!I147</f>
        <v>70</v>
      </c>
      <c r="J147" s="1892">
        <f t="shared" si="13"/>
        <v>70</v>
      </c>
      <c r="K147" s="1892">
        <f>'Calculation (table 3.2)'!K147</f>
        <v>70.710678118654755</v>
      </c>
      <c r="L147" s="1892">
        <f t="shared" si="14"/>
        <v>70.710678118654755</v>
      </c>
      <c r="M147" s="1893">
        <f>'Calculation (table 3.2)'!L147</f>
        <v>0</v>
      </c>
      <c r="N147" s="1894" t="str">
        <f t="shared" si="15"/>
        <v>NA</v>
      </c>
      <c r="O147" s="1892">
        <v>6.1416231931356105E-3</v>
      </c>
      <c r="P147" s="1892">
        <f t="shared" si="16"/>
        <v>6.1416231931356105E-3</v>
      </c>
      <c r="Q147" s="1890"/>
    </row>
    <row r="148" spans="1:17">
      <c r="A148" s="1889" t="s">
        <v>2072</v>
      </c>
      <c r="B148" s="1889" t="s">
        <v>2112</v>
      </c>
      <c r="C148" s="1890" t="s">
        <v>2113</v>
      </c>
      <c r="D148" s="1890" t="s">
        <v>84</v>
      </c>
      <c r="E148" s="1891">
        <f>'Calculation (table 3.2)'!E148</f>
        <v>39.292094390086817</v>
      </c>
      <c r="F148" s="1891">
        <f>'Calculation (table 3.2)'!F148</f>
        <v>43.874789404776422</v>
      </c>
      <c r="G148" s="1891">
        <f>'Calculation (table 3.2)'!G148</f>
        <v>10</v>
      </c>
      <c r="H148" s="1891">
        <f t="shared" si="12"/>
        <v>10</v>
      </c>
      <c r="I148" s="1891">
        <f>'Calculation (table 3.2)'!I148</f>
        <v>70</v>
      </c>
      <c r="J148" s="1892">
        <f t="shared" si="13"/>
        <v>70</v>
      </c>
      <c r="K148" s="1892">
        <f>'Calculation (table 3.2)'!K148</f>
        <v>70.710678118654755</v>
      </c>
      <c r="L148" s="1892">
        <f t="shared" si="14"/>
        <v>70.710678118654755</v>
      </c>
      <c r="M148" s="1893">
        <f>'Calculation (table 3.2)'!L148</f>
        <v>6.4636471149598765E-2</v>
      </c>
      <c r="N148" s="1894">
        <f t="shared" si="15"/>
        <v>11.663147729396156</v>
      </c>
      <c r="O148" s="1892">
        <v>1.1855059123281005E-3</v>
      </c>
      <c r="P148" s="1892">
        <f t="shared" si="16"/>
        <v>1.1855059123281005E-3</v>
      </c>
      <c r="Q148" s="1890"/>
    </row>
    <row r="149" spans="1:17">
      <c r="A149" s="1889" t="s">
        <v>2072</v>
      </c>
      <c r="B149" s="1889" t="s">
        <v>2112</v>
      </c>
      <c r="C149" s="1890" t="s">
        <v>2113</v>
      </c>
      <c r="D149" s="1890" t="s">
        <v>85</v>
      </c>
      <c r="E149" s="1891">
        <f>'Calculation (table 3.2)'!E149</f>
        <v>10.224290901342036</v>
      </c>
      <c r="F149" s="1891">
        <f>'Calculation (table 3.2)'!F149</f>
        <v>10.765573326171992</v>
      </c>
      <c r="G149" s="1891">
        <f>'Calculation (table 3.2)'!G149</f>
        <v>10</v>
      </c>
      <c r="H149" s="1891">
        <f t="shared" si="12"/>
        <v>10</v>
      </c>
      <c r="I149" s="1891">
        <f>'Calculation (table 3.2)'!I149</f>
        <v>70</v>
      </c>
      <c r="J149" s="1892">
        <f t="shared" si="13"/>
        <v>70</v>
      </c>
      <c r="K149" s="1892">
        <f>'Calculation (table 3.2)'!K149</f>
        <v>70.710678118654755</v>
      </c>
      <c r="L149" s="1892">
        <f t="shared" si="14"/>
        <v>70.710678118654755</v>
      </c>
      <c r="M149" s="1893">
        <f>'Calculation (table 3.2)'!L149</f>
        <v>3.8915433697535779E-3</v>
      </c>
      <c r="N149" s="1894">
        <f t="shared" si="15"/>
        <v>5.2940827882636663</v>
      </c>
      <c r="O149" s="1892">
        <v>1.4460492774455647E-4</v>
      </c>
      <c r="P149" s="1892">
        <f t="shared" si="16"/>
        <v>1.4460492774455647E-4</v>
      </c>
      <c r="Q149" s="1890"/>
    </row>
    <row r="150" spans="1:17">
      <c r="A150" s="1889" t="s">
        <v>2114</v>
      </c>
      <c r="B150" s="1889" t="s">
        <v>87</v>
      </c>
      <c r="C150" s="1890" t="s">
        <v>2115</v>
      </c>
      <c r="D150" s="1890" t="s">
        <v>84</v>
      </c>
      <c r="E150" s="1891">
        <f>'Calculation (table 3.2)'!E150</f>
        <v>0</v>
      </c>
      <c r="F150" s="1891">
        <f>'Calculation (table 3.2)'!F150</f>
        <v>0</v>
      </c>
      <c r="G150" s="1891">
        <f>'Calculation (table 3.2)'!G150</f>
        <v>34</v>
      </c>
      <c r="H150" s="1891">
        <f t="shared" si="12"/>
        <v>34</v>
      </c>
      <c r="I150" s="1891">
        <f>'Calculation (table 3.2)'!I150</f>
        <v>0</v>
      </c>
      <c r="J150" s="1892">
        <f t="shared" si="13"/>
        <v>0</v>
      </c>
      <c r="K150" s="1892">
        <f>'Calculation (table 3.2)'!K150</f>
        <v>34</v>
      </c>
      <c r="L150" s="1892">
        <f t="shared" si="14"/>
        <v>34</v>
      </c>
      <c r="M150" s="1893">
        <f>'Calculation (table 3.2)'!L150</f>
        <v>0</v>
      </c>
      <c r="N150" s="1894" t="str">
        <f t="shared" si="15"/>
        <v>NA</v>
      </c>
      <c r="O150" s="1892">
        <v>1.3761016559060979</v>
      </c>
      <c r="P150" s="1892">
        <f t="shared" si="16"/>
        <v>1.3761016559060979</v>
      </c>
      <c r="Q150" s="1890"/>
    </row>
    <row r="151" spans="1:17">
      <c r="A151" s="1889" t="s">
        <v>2114</v>
      </c>
      <c r="B151" s="1889" t="s">
        <v>88</v>
      </c>
      <c r="C151" s="1890" t="s">
        <v>2116</v>
      </c>
      <c r="D151" s="1890" t="s">
        <v>84</v>
      </c>
      <c r="E151" s="1891">
        <f>'Calculation (table 3.2)'!E151</f>
        <v>0</v>
      </c>
      <c r="F151" s="1891">
        <f>'Calculation (table 3.2)'!F151</f>
        <v>0</v>
      </c>
      <c r="G151" s="1891">
        <f>'Calculation (table 3.2)'!G151</f>
        <v>9</v>
      </c>
      <c r="H151" s="1891">
        <f t="shared" si="12"/>
        <v>9</v>
      </c>
      <c r="I151" s="1891">
        <f>'Calculation (table 3.2)'!I151</f>
        <v>55</v>
      </c>
      <c r="J151" s="1892">
        <f t="shared" si="13"/>
        <v>55</v>
      </c>
      <c r="K151" s="1892">
        <f>'Calculation (table 3.2)'!K151</f>
        <v>55.731499172371095</v>
      </c>
      <c r="L151" s="1892">
        <f t="shared" si="14"/>
        <v>55.731499172371095</v>
      </c>
      <c r="M151" s="1893">
        <f>'Calculation (table 3.2)'!L151</f>
        <v>0</v>
      </c>
      <c r="N151" s="1894" t="str">
        <f t="shared" si="15"/>
        <v>NA</v>
      </c>
      <c r="O151" s="1892">
        <v>8.6057124326916756E-2</v>
      </c>
      <c r="P151" s="1892">
        <f t="shared" si="16"/>
        <v>8.6057124326916756E-2</v>
      </c>
      <c r="Q151" s="1890"/>
    </row>
    <row r="152" spans="1:17">
      <c r="A152" s="1889" t="s">
        <v>2114</v>
      </c>
      <c r="B152" s="1889" t="s">
        <v>88</v>
      </c>
      <c r="C152" s="1890" t="s">
        <v>2116</v>
      </c>
      <c r="D152" s="1890" t="s">
        <v>85</v>
      </c>
      <c r="E152" s="1891">
        <f>'Calculation (table 3.2)'!E152</f>
        <v>0</v>
      </c>
      <c r="F152" s="1891">
        <f>'Calculation (table 3.2)'!F152</f>
        <v>0</v>
      </c>
      <c r="G152" s="1891">
        <f>'Calculation (table 3.2)'!G152</f>
        <v>16</v>
      </c>
      <c r="H152" s="1891">
        <f t="shared" si="12"/>
        <v>16</v>
      </c>
      <c r="I152" s="1891">
        <f>'Calculation (table 3.2)'!I152</f>
        <v>85</v>
      </c>
      <c r="J152" s="1892">
        <f t="shared" si="13"/>
        <v>85</v>
      </c>
      <c r="K152" s="1892">
        <f>'Calculation (table 3.2)'!K152</f>
        <v>86.49277426467485</v>
      </c>
      <c r="L152" s="1892">
        <f t="shared" si="14"/>
        <v>86.49277426467485</v>
      </c>
      <c r="M152" s="1893">
        <f>'Calculation (table 3.2)'!L152</f>
        <v>0</v>
      </c>
      <c r="N152" s="1894" t="str">
        <f t="shared" si="15"/>
        <v>NA</v>
      </c>
      <c r="O152" s="1892">
        <v>8.2120868107969189E-2</v>
      </c>
      <c r="P152" s="1892">
        <f t="shared" si="16"/>
        <v>8.2120868107969189E-2</v>
      </c>
      <c r="Q152" s="1890"/>
    </row>
    <row r="153" spans="1:17">
      <c r="A153" s="1889" t="s">
        <v>2114</v>
      </c>
      <c r="B153" s="1889" t="s">
        <v>89</v>
      </c>
      <c r="C153" s="1890" t="s">
        <v>2117</v>
      </c>
      <c r="D153" s="1890" t="s">
        <v>84</v>
      </c>
      <c r="E153" s="1891">
        <f>'Calculation (table 3.2)'!E153</f>
        <v>0</v>
      </c>
      <c r="F153" s="1891">
        <f>'Calculation (table 3.2)'!F153</f>
        <v>0</v>
      </c>
      <c r="G153" s="1891">
        <f>'Calculation (table 3.2)'!G153</f>
        <v>13</v>
      </c>
      <c r="H153" s="1891">
        <f t="shared" si="12"/>
        <v>13</v>
      </c>
      <c r="I153" s="1891">
        <f>'Calculation (table 3.2)'!I153</f>
        <v>60</v>
      </c>
      <c r="J153" s="1892">
        <f t="shared" si="13"/>
        <v>60</v>
      </c>
      <c r="K153" s="1892">
        <f>'Calculation (table 3.2)'!K153</f>
        <v>61.392181912683313</v>
      </c>
      <c r="L153" s="1892">
        <f t="shared" si="14"/>
        <v>61.392181912683313</v>
      </c>
      <c r="M153" s="1893">
        <f>'Calculation (table 3.2)'!L153</f>
        <v>0</v>
      </c>
      <c r="N153" s="1894" t="str">
        <f t="shared" si="15"/>
        <v>NA</v>
      </c>
      <c r="O153" s="1892">
        <v>0.25819023388187434</v>
      </c>
      <c r="P153" s="1892">
        <f t="shared" si="16"/>
        <v>0.25819023388187434</v>
      </c>
      <c r="Q153" s="1890"/>
    </row>
    <row r="154" spans="1:17">
      <c r="A154" s="1889" t="s">
        <v>2114</v>
      </c>
      <c r="B154" s="1889" t="s">
        <v>89</v>
      </c>
      <c r="C154" s="1890" t="s">
        <v>2117</v>
      </c>
      <c r="D154" s="1890" t="s">
        <v>85</v>
      </c>
      <c r="E154" s="1891">
        <f>'Calculation (table 3.2)'!E154</f>
        <v>0</v>
      </c>
      <c r="F154" s="1891">
        <f>'Calculation (table 3.2)'!F154</f>
        <v>0</v>
      </c>
      <c r="G154" s="1891">
        <f>'Calculation (table 3.2)'!G154</f>
        <v>9</v>
      </c>
      <c r="H154" s="1891">
        <f t="shared" si="12"/>
        <v>9</v>
      </c>
      <c r="I154" s="1891">
        <f>'Calculation (table 3.2)'!I154</f>
        <v>400</v>
      </c>
      <c r="J154" s="1892">
        <f t="shared" si="13"/>
        <v>400</v>
      </c>
      <c r="K154" s="1892">
        <f>'Calculation (table 3.2)'!K154</f>
        <v>400.10123718878953</v>
      </c>
      <c r="L154" s="1892">
        <f t="shared" si="14"/>
        <v>400.10123718878953</v>
      </c>
      <c r="M154" s="1893">
        <f>'Calculation (table 3.2)'!L154</f>
        <v>0</v>
      </c>
      <c r="N154" s="1894" t="str">
        <f t="shared" si="15"/>
        <v>NA</v>
      </c>
      <c r="O154" s="1892">
        <v>0.27084082026888046</v>
      </c>
      <c r="P154" s="1892">
        <f t="shared" si="16"/>
        <v>0.27084082026888046</v>
      </c>
      <c r="Q154" s="1890"/>
    </row>
    <row r="155" spans="1:17">
      <c r="A155" s="1889" t="s">
        <v>1614</v>
      </c>
      <c r="B155" s="1889" t="s">
        <v>2118</v>
      </c>
      <c r="C155" s="1890" t="s">
        <v>2080</v>
      </c>
      <c r="D155" s="1890" t="s">
        <v>2412</v>
      </c>
      <c r="E155" s="1891">
        <f>'Calculation (table 3.2)'!E155</f>
        <v>0</v>
      </c>
      <c r="F155" s="1891">
        <f>'Calculation (table 3.2)'!F155</f>
        <v>0</v>
      </c>
      <c r="G155" s="1891">
        <f>'Calculation (table 3.2)'!G155</f>
        <v>16</v>
      </c>
      <c r="H155" s="1891">
        <f t="shared" si="12"/>
        <v>16</v>
      </c>
      <c r="I155" s="1891">
        <f>'Calculation (table 3.2)'!I155</f>
        <v>0</v>
      </c>
      <c r="J155" s="1892">
        <f t="shared" si="13"/>
        <v>0</v>
      </c>
      <c r="K155" s="1892">
        <f>'Calculation (table 3.2)'!K155</f>
        <v>16</v>
      </c>
      <c r="L155" s="1892">
        <f t="shared" si="14"/>
        <v>16</v>
      </c>
      <c r="M155" s="1893">
        <f>'Calculation (table 3.2)'!L155</f>
        <v>0</v>
      </c>
      <c r="N155" s="1894" t="str">
        <f t="shared" si="15"/>
        <v>NA</v>
      </c>
      <c r="O155" s="1892">
        <v>2.0885629653576127E-2</v>
      </c>
      <c r="P155" s="1892">
        <f t="shared" si="16"/>
        <v>2.0885629653576127E-2</v>
      </c>
      <c r="Q155" s="1890"/>
    </row>
    <row r="156" spans="1:17">
      <c r="A156" s="1889" t="s">
        <v>1614</v>
      </c>
      <c r="B156" s="1889">
        <v>0</v>
      </c>
      <c r="C156" s="1890">
        <v>0</v>
      </c>
      <c r="D156" s="1890">
        <v>0</v>
      </c>
      <c r="E156" s="1891">
        <f>'Calculation (table 3.2)'!E156</f>
        <v>0</v>
      </c>
      <c r="F156" s="1891">
        <f>'Calculation (table 3.2)'!F156</f>
        <v>0</v>
      </c>
      <c r="G156" s="1891">
        <f>'Calculation (table 3.2)'!G156</f>
        <v>0</v>
      </c>
      <c r="H156" s="1891">
        <f t="shared" si="12"/>
        <v>0</v>
      </c>
      <c r="I156" s="1891">
        <f>'Calculation (table 3.2)'!I156</f>
        <v>0</v>
      </c>
      <c r="J156" s="1892">
        <f t="shared" si="13"/>
        <v>0</v>
      </c>
      <c r="K156" s="1892">
        <f>'Calculation (table 3.2)'!K156</f>
        <v>0</v>
      </c>
      <c r="L156" s="1892">
        <f t="shared" si="14"/>
        <v>0</v>
      </c>
      <c r="M156" s="1893">
        <f>'Calculation (table 3.2)'!L156</f>
        <v>0</v>
      </c>
      <c r="N156" s="1894" t="str">
        <f t="shared" si="15"/>
        <v>NA</v>
      </c>
      <c r="O156" s="1892">
        <v>0</v>
      </c>
      <c r="P156" s="1892">
        <f t="shared" si="16"/>
        <v>0</v>
      </c>
      <c r="Q156" s="1890"/>
    </row>
    <row r="157" spans="1:17">
      <c r="A157" s="1889" t="s">
        <v>1614</v>
      </c>
      <c r="B157" s="1889">
        <v>0</v>
      </c>
      <c r="C157" s="1890">
        <v>0</v>
      </c>
      <c r="D157" s="1890">
        <v>0</v>
      </c>
      <c r="E157" s="1891">
        <f>'Calculation (table 3.2)'!E157</f>
        <v>0</v>
      </c>
      <c r="F157" s="1891">
        <f>'Calculation (table 3.2)'!F157</f>
        <v>0</v>
      </c>
      <c r="G157" s="1891">
        <f>'Calculation (table 3.2)'!G157</f>
        <v>0</v>
      </c>
      <c r="H157" s="1891">
        <f t="shared" si="12"/>
        <v>0</v>
      </c>
      <c r="I157" s="1891">
        <f>'Calculation (table 3.2)'!I157</f>
        <v>0</v>
      </c>
      <c r="J157" s="1892">
        <f t="shared" si="13"/>
        <v>0</v>
      </c>
      <c r="K157" s="1892">
        <f>'Calculation (table 3.2)'!K157</f>
        <v>0</v>
      </c>
      <c r="L157" s="1892">
        <f t="shared" si="14"/>
        <v>0</v>
      </c>
      <c r="M157" s="1893">
        <f>'Calculation (table 3.2)'!L157</f>
        <v>0</v>
      </c>
      <c r="N157" s="1894" t="str">
        <f t="shared" si="15"/>
        <v>NA</v>
      </c>
      <c r="O157" s="1892">
        <v>0</v>
      </c>
      <c r="P157" s="1892">
        <f t="shared" si="16"/>
        <v>0</v>
      </c>
      <c r="Q157" s="1890"/>
    </row>
    <row r="158" spans="1:17">
      <c r="A158" s="1889" t="s">
        <v>1614</v>
      </c>
      <c r="B158" s="1889">
        <v>0</v>
      </c>
      <c r="C158" s="1890">
        <v>0</v>
      </c>
      <c r="D158" s="1890">
        <v>0</v>
      </c>
      <c r="E158" s="1891">
        <f>'Calculation (table 3.2)'!E158</f>
        <v>0</v>
      </c>
      <c r="F158" s="1891">
        <f>'Calculation (table 3.2)'!F158</f>
        <v>0</v>
      </c>
      <c r="G158" s="1891">
        <f>'Calculation (table 3.2)'!G158</f>
        <v>0</v>
      </c>
      <c r="H158" s="1891">
        <f t="shared" si="12"/>
        <v>0</v>
      </c>
      <c r="I158" s="1891">
        <f>'Calculation (table 3.2)'!I158</f>
        <v>0</v>
      </c>
      <c r="J158" s="1892">
        <f t="shared" si="13"/>
        <v>0</v>
      </c>
      <c r="K158" s="1892">
        <f>'Calculation (table 3.2)'!K158</f>
        <v>0</v>
      </c>
      <c r="L158" s="1892">
        <f t="shared" si="14"/>
        <v>0</v>
      </c>
      <c r="M158" s="1893">
        <f>'Calculation (table 3.2)'!L158</f>
        <v>0</v>
      </c>
      <c r="N158" s="1894" t="str">
        <f t="shared" si="15"/>
        <v>NA</v>
      </c>
      <c r="O158" s="1892">
        <v>0</v>
      </c>
      <c r="P158" s="1892">
        <f t="shared" si="16"/>
        <v>0</v>
      </c>
      <c r="Q158" s="1890"/>
    </row>
    <row r="159" spans="1:17">
      <c r="A159" s="1889" t="s">
        <v>1614</v>
      </c>
      <c r="B159" s="1889">
        <v>0</v>
      </c>
      <c r="C159" s="1890">
        <v>0</v>
      </c>
      <c r="D159" s="1890">
        <v>0</v>
      </c>
      <c r="E159" s="1891">
        <f>'Calculation (table 3.2)'!E159</f>
        <v>0</v>
      </c>
      <c r="F159" s="1891">
        <f>'Calculation (table 3.2)'!F159</f>
        <v>0</v>
      </c>
      <c r="G159" s="1891">
        <f>'Calculation (table 3.2)'!G159</f>
        <v>0</v>
      </c>
      <c r="H159" s="1891">
        <f t="shared" si="12"/>
        <v>0</v>
      </c>
      <c r="I159" s="1891">
        <f>'Calculation (table 3.2)'!I159</f>
        <v>0</v>
      </c>
      <c r="J159" s="1892">
        <f t="shared" si="13"/>
        <v>0</v>
      </c>
      <c r="K159" s="1892">
        <f>'Calculation (table 3.2)'!K159</f>
        <v>0</v>
      </c>
      <c r="L159" s="1892">
        <f t="shared" si="14"/>
        <v>0</v>
      </c>
      <c r="M159" s="1893">
        <f>'Calculation (table 3.2)'!L159</f>
        <v>0</v>
      </c>
      <c r="N159" s="1894" t="str">
        <f t="shared" si="15"/>
        <v>NA</v>
      </c>
      <c r="O159" s="1892">
        <v>0</v>
      </c>
      <c r="P159" s="1892">
        <f t="shared" si="16"/>
        <v>0</v>
      </c>
      <c r="Q159" s="1890"/>
    </row>
    <row r="160" spans="1:17">
      <c r="A160" s="1889" t="s">
        <v>1614</v>
      </c>
      <c r="B160" s="1889">
        <v>0</v>
      </c>
      <c r="C160" s="1890">
        <v>0</v>
      </c>
      <c r="D160" s="1890">
        <v>0</v>
      </c>
      <c r="E160" s="1891">
        <f>'Calculation (table 3.2)'!E160</f>
        <v>0</v>
      </c>
      <c r="F160" s="1891">
        <f>'Calculation (table 3.2)'!F160</f>
        <v>0</v>
      </c>
      <c r="G160" s="1891">
        <f>'Calculation (table 3.2)'!G160</f>
        <v>0</v>
      </c>
      <c r="H160" s="1891">
        <f t="shared" si="12"/>
        <v>0</v>
      </c>
      <c r="I160" s="1891">
        <f>'Calculation (table 3.2)'!I160</f>
        <v>0</v>
      </c>
      <c r="J160" s="1892">
        <f t="shared" si="13"/>
        <v>0</v>
      </c>
      <c r="K160" s="1892">
        <f>'Calculation (table 3.2)'!K160</f>
        <v>0</v>
      </c>
      <c r="L160" s="1892">
        <f t="shared" si="14"/>
        <v>0</v>
      </c>
      <c r="M160" s="1893">
        <f>'Calculation (table 3.2)'!L160</f>
        <v>0</v>
      </c>
      <c r="N160" s="1894" t="str">
        <f t="shared" si="15"/>
        <v>NA</v>
      </c>
      <c r="O160" s="1892">
        <v>0</v>
      </c>
      <c r="P160" s="1892">
        <f t="shared" si="16"/>
        <v>0</v>
      </c>
      <c r="Q160" s="1890"/>
    </row>
    <row r="161" spans="1:17">
      <c r="A161" s="1889" t="s">
        <v>1614</v>
      </c>
      <c r="B161" s="1889">
        <v>0</v>
      </c>
      <c r="C161" s="1890">
        <v>0</v>
      </c>
      <c r="D161" s="1890">
        <v>0</v>
      </c>
      <c r="E161" s="1891">
        <f>'Calculation (table 3.2)'!E161</f>
        <v>0</v>
      </c>
      <c r="F161" s="1891">
        <f>'Calculation (table 3.2)'!F161</f>
        <v>0</v>
      </c>
      <c r="G161" s="1891">
        <f>'Calculation (table 3.2)'!G161</f>
        <v>0</v>
      </c>
      <c r="H161" s="1891">
        <f t="shared" si="12"/>
        <v>0</v>
      </c>
      <c r="I161" s="1891">
        <f>'Calculation (table 3.2)'!I161</f>
        <v>0</v>
      </c>
      <c r="J161" s="1892">
        <f t="shared" si="13"/>
        <v>0</v>
      </c>
      <c r="K161" s="1892">
        <f>'Calculation (table 3.2)'!K161</f>
        <v>0</v>
      </c>
      <c r="L161" s="1892">
        <f t="shared" si="14"/>
        <v>0</v>
      </c>
      <c r="M161" s="1893">
        <f>'Calculation (table 3.2)'!L161</f>
        <v>0</v>
      </c>
      <c r="N161" s="1894" t="str">
        <f t="shared" si="15"/>
        <v>NA</v>
      </c>
      <c r="O161" s="1892">
        <v>0</v>
      </c>
      <c r="P161" s="1892">
        <f t="shared" si="16"/>
        <v>0</v>
      </c>
      <c r="Q161" s="1890"/>
    </row>
    <row r="162" spans="1:17">
      <c r="A162" s="1889" t="s">
        <v>1614</v>
      </c>
      <c r="B162" s="1889">
        <v>0</v>
      </c>
      <c r="C162" s="1890">
        <v>0</v>
      </c>
      <c r="D162" s="1890">
        <v>0</v>
      </c>
      <c r="E162" s="1891">
        <f>'Calculation (table 3.2)'!E162</f>
        <v>0</v>
      </c>
      <c r="F162" s="1891">
        <f>'Calculation (table 3.2)'!F162</f>
        <v>0</v>
      </c>
      <c r="G162" s="1891">
        <f>'Calculation (table 3.2)'!G162</f>
        <v>0</v>
      </c>
      <c r="H162" s="1891">
        <f t="shared" si="12"/>
        <v>0</v>
      </c>
      <c r="I162" s="1891">
        <f>'Calculation (table 3.2)'!I162</f>
        <v>0</v>
      </c>
      <c r="J162" s="1892">
        <f t="shared" si="13"/>
        <v>0</v>
      </c>
      <c r="K162" s="1892">
        <f>'Calculation (table 3.2)'!K162</f>
        <v>0</v>
      </c>
      <c r="L162" s="1892">
        <f t="shared" si="14"/>
        <v>0</v>
      </c>
      <c r="M162" s="1893">
        <f>'Calculation (table 3.2)'!L162</f>
        <v>0</v>
      </c>
      <c r="N162" s="1894" t="str">
        <f t="shared" si="15"/>
        <v>NA</v>
      </c>
      <c r="O162" s="1892">
        <v>0</v>
      </c>
      <c r="P162" s="1892">
        <f t="shared" si="16"/>
        <v>0</v>
      </c>
      <c r="Q162" s="1890"/>
    </row>
    <row r="163" spans="1:17">
      <c r="A163" s="1889" t="s">
        <v>1614</v>
      </c>
      <c r="B163" s="1889">
        <v>0</v>
      </c>
      <c r="C163" s="1890">
        <v>0</v>
      </c>
      <c r="D163" s="1890">
        <v>0</v>
      </c>
      <c r="E163" s="1891">
        <f>'Calculation (table 3.2)'!E163</f>
        <v>0</v>
      </c>
      <c r="F163" s="1891">
        <f>'Calculation (table 3.2)'!F163</f>
        <v>0</v>
      </c>
      <c r="G163" s="1891">
        <f>'Calculation (table 3.2)'!G163</f>
        <v>0</v>
      </c>
      <c r="H163" s="1891">
        <f t="shared" si="12"/>
        <v>0</v>
      </c>
      <c r="I163" s="1891">
        <f>'Calculation (table 3.2)'!I163</f>
        <v>0</v>
      </c>
      <c r="J163" s="1892">
        <f t="shared" si="13"/>
        <v>0</v>
      </c>
      <c r="K163" s="1892">
        <f>'Calculation (table 3.2)'!K163</f>
        <v>0</v>
      </c>
      <c r="L163" s="1892">
        <f t="shared" si="14"/>
        <v>0</v>
      </c>
      <c r="M163" s="1893">
        <f>'Calculation (table 3.2)'!L163</f>
        <v>0</v>
      </c>
      <c r="N163" s="1894" t="str">
        <f t="shared" si="15"/>
        <v>NA</v>
      </c>
      <c r="O163" s="1892">
        <v>0</v>
      </c>
      <c r="P163" s="1892">
        <f t="shared" si="16"/>
        <v>0</v>
      </c>
      <c r="Q163" s="1890"/>
    </row>
    <row r="164" spans="1:17">
      <c r="A164" s="1889" t="s">
        <v>1614</v>
      </c>
      <c r="B164" s="1889">
        <v>0</v>
      </c>
      <c r="C164" s="1890">
        <v>0</v>
      </c>
      <c r="D164" s="1890">
        <v>0</v>
      </c>
      <c r="E164" s="1891">
        <f>'Calculation (table 3.2)'!E164</f>
        <v>0</v>
      </c>
      <c r="F164" s="1891">
        <f>'Calculation (table 3.2)'!F164</f>
        <v>0</v>
      </c>
      <c r="G164" s="1891">
        <f>'Calculation (table 3.2)'!G164</f>
        <v>0</v>
      </c>
      <c r="H164" s="1891">
        <f t="shared" si="12"/>
        <v>0</v>
      </c>
      <c r="I164" s="1891">
        <f>'Calculation (table 3.2)'!I164</f>
        <v>0</v>
      </c>
      <c r="J164" s="1892">
        <f t="shared" si="13"/>
        <v>0</v>
      </c>
      <c r="K164" s="1892">
        <f>'Calculation (table 3.2)'!K164</f>
        <v>0</v>
      </c>
      <c r="L164" s="1892">
        <f t="shared" si="14"/>
        <v>0</v>
      </c>
      <c r="M164" s="1893">
        <f>'Calculation (table 3.2)'!L164</f>
        <v>0</v>
      </c>
      <c r="N164" s="1894" t="str">
        <f t="shared" si="15"/>
        <v>NA</v>
      </c>
      <c r="O164" s="1892">
        <v>0</v>
      </c>
      <c r="P164" s="1892">
        <f t="shared" si="16"/>
        <v>0</v>
      </c>
      <c r="Q164" s="1890"/>
    </row>
    <row r="165" spans="1:17">
      <c r="A165" s="1889" t="s">
        <v>1614</v>
      </c>
      <c r="B165" s="1889">
        <v>0</v>
      </c>
      <c r="C165" s="1890">
        <v>0</v>
      </c>
      <c r="D165" s="1890">
        <v>0</v>
      </c>
      <c r="E165" s="1891">
        <f>'Calculation (table 3.2)'!E165</f>
        <v>0</v>
      </c>
      <c r="F165" s="1891">
        <f>'Calculation (table 3.2)'!F165</f>
        <v>0</v>
      </c>
      <c r="G165" s="1891">
        <f>'Calculation (table 3.2)'!G165</f>
        <v>0</v>
      </c>
      <c r="H165" s="1891">
        <f t="shared" si="12"/>
        <v>0</v>
      </c>
      <c r="I165" s="1891">
        <f>'Calculation (table 3.2)'!I165</f>
        <v>0</v>
      </c>
      <c r="J165" s="1892">
        <f t="shared" si="13"/>
        <v>0</v>
      </c>
      <c r="K165" s="1892">
        <f>'Calculation (table 3.2)'!K165</f>
        <v>0</v>
      </c>
      <c r="L165" s="1892">
        <f t="shared" si="14"/>
        <v>0</v>
      </c>
      <c r="M165" s="1893">
        <f>'Calculation (table 3.2)'!L165</f>
        <v>0</v>
      </c>
      <c r="N165" s="1894" t="str">
        <f t="shared" si="15"/>
        <v>NA</v>
      </c>
      <c r="O165" s="1892">
        <v>0</v>
      </c>
      <c r="P165" s="1892">
        <f t="shared" si="16"/>
        <v>0</v>
      </c>
      <c r="Q165" s="1890"/>
    </row>
    <row r="166" spans="1:17">
      <c r="A166" s="1889" t="s">
        <v>1614</v>
      </c>
      <c r="B166" s="1889">
        <v>0</v>
      </c>
      <c r="C166" s="1890">
        <v>0</v>
      </c>
      <c r="D166" s="1890">
        <v>0</v>
      </c>
      <c r="E166" s="1891">
        <f>'Calculation (table 3.2)'!E166</f>
        <v>0</v>
      </c>
      <c r="F166" s="1891">
        <f>'Calculation (table 3.2)'!F166</f>
        <v>0</v>
      </c>
      <c r="G166" s="1891">
        <f>'Calculation (table 3.2)'!G166</f>
        <v>0</v>
      </c>
      <c r="H166" s="1891">
        <f t="shared" si="12"/>
        <v>0</v>
      </c>
      <c r="I166" s="1891">
        <f>'Calculation (table 3.2)'!I166</f>
        <v>0</v>
      </c>
      <c r="J166" s="1892">
        <f t="shared" si="13"/>
        <v>0</v>
      </c>
      <c r="K166" s="1892">
        <f>'Calculation (table 3.2)'!K166</f>
        <v>0</v>
      </c>
      <c r="L166" s="1892">
        <f t="shared" si="14"/>
        <v>0</v>
      </c>
      <c r="M166" s="1893">
        <f>'Calculation (table 3.2)'!L166</f>
        <v>0</v>
      </c>
      <c r="N166" s="1894" t="str">
        <f t="shared" si="15"/>
        <v>NA</v>
      </c>
      <c r="O166" s="1892">
        <v>0</v>
      </c>
      <c r="P166" s="1892">
        <f t="shared" si="16"/>
        <v>0</v>
      </c>
      <c r="Q166" s="1890"/>
    </row>
    <row r="167" spans="1:17">
      <c r="A167" s="1889" t="s">
        <v>1614</v>
      </c>
      <c r="B167" s="1889">
        <v>0</v>
      </c>
      <c r="C167" s="1890">
        <v>0</v>
      </c>
      <c r="D167" s="1890">
        <v>0</v>
      </c>
      <c r="E167" s="1891">
        <f>'Calculation (table 3.2)'!E167</f>
        <v>0</v>
      </c>
      <c r="F167" s="1891">
        <f>'Calculation (table 3.2)'!F167</f>
        <v>0</v>
      </c>
      <c r="G167" s="1891">
        <f>'Calculation (table 3.2)'!G167</f>
        <v>0</v>
      </c>
      <c r="H167" s="1891">
        <f t="shared" si="12"/>
        <v>0</v>
      </c>
      <c r="I167" s="1891">
        <f>'Calculation (table 3.2)'!I167</f>
        <v>0</v>
      </c>
      <c r="J167" s="1892">
        <f t="shared" si="13"/>
        <v>0</v>
      </c>
      <c r="K167" s="1892">
        <f>'Calculation (table 3.2)'!K167</f>
        <v>0</v>
      </c>
      <c r="L167" s="1892">
        <f t="shared" si="14"/>
        <v>0</v>
      </c>
      <c r="M167" s="1893">
        <f>'Calculation (table 3.2)'!L167</f>
        <v>0</v>
      </c>
      <c r="N167" s="1894" t="str">
        <f t="shared" si="15"/>
        <v>NA</v>
      </c>
      <c r="O167" s="1892">
        <v>0</v>
      </c>
      <c r="P167" s="1892">
        <f t="shared" si="16"/>
        <v>0</v>
      </c>
      <c r="Q167" s="1890"/>
    </row>
    <row r="168" spans="1:17">
      <c r="A168" s="1889" t="s">
        <v>1614</v>
      </c>
      <c r="B168" s="1889">
        <v>0</v>
      </c>
      <c r="C168" s="1890">
        <v>0</v>
      </c>
      <c r="D168" s="1890">
        <v>0</v>
      </c>
      <c r="E168" s="1891">
        <f>'Calculation (table 3.2)'!E168</f>
        <v>0</v>
      </c>
      <c r="F168" s="1891">
        <f>'Calculation (table 3.2)'!F168</f>
        <v>0</v>
      </c>
      <c r="G168" s="1891">
        <f>'Calculation (table 3.2)'!G168</f>
        <v>0</v>
      </c>
      <c r="H168" s="1891">
        <f t="shared" si="12"/>
        <v>0</v>
      </c>
      <c r="I168" s="1891">
        <f>'Calculation (table 3.2)'!I168</f>
        <v>0</v>
      </c>
      <c r="J168" s="1892">
        <f t="shared" si="13"/>
        <v>0</v>
      </c>
      <c r="K168" s="1892">
        <f>'Calculation (table 3.2)'!K168</f>
        <v>0</v>
      </c>
      <c r="L168" s="1892">
        <f t="shared" si="14"/>
        <v>0</v>
      </c>
      <c r="M168" s="1893">
        <f>'Calculation (table 3.2)'!L168</f>
        <v>0</v>
      </c>
      <c r="N168" s="1894" t="str">
        <f t="shared" si="15"/>
        <v>NA</v>
      </c>
      <c r="O168" s="1892">
        <v>0</v>
      </c>
      <c r="P168" s="1892">
        <f t="shared" si="16"/>
        <v>0</v>
      </c>
      <c r="Q168" s="1890"/>
    </row>
    <row r="169" spans="1:17">
      <c r="A169" s="1889" t="s">
        <v>1614</v>
      </c>
      <c r="B169" s="1889">
        <v>0</v>
      </c>
      <c r="C169" s="1890">
        <v>0</v>
      </c>
      <c r="D169" s="1890">
        <v>0</v>
      </c>
      <c r="E169" s="1891">
        <f>'Calculation (table 3.2)'!E169</f>
        <v>0</v>
      </c>
      <c r="F169" s="1891">
        <f>'Calculation (table 3.2)'!F169</f>
        <v>0</v>
      </c>
      <c r="G169" s="1891">
        <f>'Calculation (table 3.2)'!G169</f>
        <v>0</v>
      </c>
      <c r="H169" s="1891">
        <f t="shared" si="12"/>
        <v>0</v>
      </c>
      <c r="I169" s="1891">
        <f>'Calculation (table 3.2)'!I169</f>
        <v>0</v>
      </c>
      <c r="J169" s="1892">
        <f t="shared" si="13"/>
        <v>0</v>
      </c>
      <c r="K169" s="1892">
        <f>'Calculation (table 3.2)'!K169</f>
        <v>0</v>
      </c>
      <c r="L169" s="1892">
        <f t="shared" si="14"/>
        <v>0</v>
      </c>
      <c r="M169" s="1893">
        <f>'Calculation (table 3.2)'!L169</f>
        <v>0</v>
      </c>
      <c r="N169" s="1894" t="str">
        <f t="shared" si="15"/>
        <v>NA</v>
      </c>
      <c r="O169" s="1892">
        <v>0</v>
      </c>
      <c r="P169" s="1892">
        <f t="shared" si="16"/>
        <v>0</v>
      </c>
      <c r="Q169" s="1890"/>
    </row>
    <row r="170" spans="1:17">
      <c r="A170" s="1889" t="s">
        <v>1614</v>
      </c>
      <c r="B170" s="1889">
        <v>0</v>
      </c>
      <c r="C170" s="1890">
        <v>0</v>
      </c>
      <c r="D170" s="1890">
        <v>0</v>
      </c>
      <c r="E170" s="1891">
        <f>'Calculation (table 3.2)'!E170</f>
        <v>0</v>
      </c>
      <c r="F170" s="1891">
        <f>'Calculation (table 3.2)'!F170</f>
        <v>0</v>
      </c>
      <c r="G170" s="1891">
        <f>'Calculation (table 3.2)'!G170</f>
        <v>0</v>
      </c>
      <c r="H170" s="1891">
        <f t="shared" si="12"/>
        <v>0</v>
      </c>
      <c r="I170" s="1891">
        <f>'Calculation (table 3.2)'!I170</f>
        <v>0</v>
      </c>
      <c r="J170" s="1892">
        <f t="shared" si="13"/>
        <v>0</v>
      </c>
      <c r="K170" s="1892">
        <f>'Calculation (table 3.2)'!K170</f>
        <v>0</v>
      </c>
      <c r="L170" s="1892">
        <f t="shared" si="14"/>
        <v>0</v>
      </c>
      <c r="M170" s="1893">
        <f>'Calculation (table 3.2)'!L170</f>
        <v>0</v>
      </c>
      <c r="N170" s="1894" t="str">
        <f t="shared" si="15"/>
        <v>NA</v>
      </c>
      <c r="O170" s="1892">
        <v>0</v>
      </c>
      <c r="P170" s="1892">
        <f t="shared" si="16"/>
        <v>0</v>
      </c>
      <c r="Q170" s="1890"/>
    </row>
    <row r="171" spans="1:17">
      <c r="A171" s="1889" t="s">
        <v>1614</v>
      </c>
      <c r="B171" s="1889">
        <v>0</v>
      </c>
      <c r="C171" s="1890">
        <v>0</v>
      </c>
      <c r="D171" s="1890">
        <v>0</v>
      </c>
      <c r="E171" s="1891">
        <f>'Calculation (table 3.2)'!E171</f>
        <v>0</v>
      </c>
      <c r="F171" s="1891">
        <f>'Calculation (table 3.2)'!F171</f>
        <v>0</v>
      </c>
      <c r="G171" s="1891">
        <f>'Calculation (table 3.2)'!G171</f>
        <v>0</v>
      </c>
      <c r="H171" s="1891">
        <f t="shared" si="12"/>
        <v>0</v>
      </c>
      <c r="I171" s="1891">
        <f>'Calculation (table 3.2)'!I171</f>
        <v>0</v>
      </c>
      <c r="J171" s="1892">
        <f t="shared" si="13"/>
        <v>0</v>
      </c>
      <c r="K171" s="1892">
        <f>'Calculation (table 3.2)'!K171</f>
        <v>0</v>
      </c>
      <c r="L171" s="1892">
        <f t="shared" si="14"/>
        <v>0</v>
      </c>
      <c r="M171" s="1893">
        <f>'Calculation (table 3.2)'!L171</f>
        <v>0</v>
      </c>
      <c r="N171" s="1894" t="str">
        <f t="shared" si="15"/>
        <v>NA</v>
      </c>
      <c r="O171" s="1892">
        <v>0</v>
      </c>
      <c r="P171" s="1892">
        <f t="shared" si="16"/>
        <v>0</v>
      </c>
      <c r="Q171" s="1890"/>
    </row>
    <row r="172" spans="1:17">
      <c r="A172" s="1889" t="s">
        <v>1614</v>
      </c>
      <c r="B172" s="1889">
        <v>0</v>
      </c>
      <c r="C172" s="1890">
        <v>0</v>
      </c>
      <c r="D172" s="1890">
        <v>0</v>
      </c>
      <c r="E172" s="1891">
        <f>'Calculation (table 3.2)'!E172</f>
        <v>0</v>
      </c>
      <c r="F172" s="1891">
        <f>'Calculation (table 3.2)'!F172</f>
        <v>0</v>
      </c>
      <c r="G172" s="1891">
        <f>'Calculation (table 3.2)'!G172</f>
        <v>0</v>
      </c>
      <c r="H172" s="1891">
        <f t="shared" si="12"/>
        <v>0</v>
      </c>
      <c r="I172" s="1891">
        <f>'Calculation (table 3.2)'!I172</f>
        <v>0</v>
      </c>
      <c r="J172" s="1892">
        <f t="shared" si="13"/>
        <v>0</v>
      </c>
      <c r="K172" s="1892">
        <f>'Calculation (table 3.2)'!K172</f>
        <v>0</v>
      </c>
      <c r="L172" s="1892">
        <f t="shared" si="14"/>
        <v>0</v>
      </c>
      <c r="M172" s="1893">
        <f>'Calculation (table 3.2)'!L172</f>
        <v>0</v>
      </c>
      <c r="N172" s="1894" t="str">
        <f t="shared" si="15"/>
        <v>NA</v>
      </c>
      <c r="O172" s="1892">
        <v>0</v>
      </c>
      <c r="P172" s="1892">
        <f t="shared" si="16"/>
        <v>0</v>
      </c>
      <c r="Q172" s="1890"/>
    </row>
    <row r="173" spans="1:17">
      <c r="A173" s="1889" t="s">
        <v>1614</v>
      </c>
      <c r="B173" s="1889">
        <v>0</v>
      </c>
      <c r="C173" s="1890">
        <v>0</v>
      </c>
      <c r="D173" s="1890">
        <v>0</v>
      </c>
      <c r="E173" s="1891">
        <f>'Calculation (table 3.2)'!E173</f>
        <v>0</v>
      </c>
      <c r="F173" s="1891">
        <f>'Calculation (table 3.2)'!F173</f>
        <v>0</v>
      </c>
      <c r="G173" s="1891">
        <f>'Calculation (table 3.2)'!G173</f>
        <v>0</v>
      </c>
      <c r="H173" s="1891">
        <f t="shared" si="12"/>
        <v>0</v>
      </c>
      <c r="I173" s="1891">
        <f>'Calculation (table 3.2)'!I173</f>
        <v>0</v>
      </c>
      <c r="J173" s="1892">
        <f t="shared" si="13"/>
        <v>0</v>
      </c>
      <c r="K173" s="1892">
        <f>'Calculation (table 3.2)'!K173</f>
        <v>0</v>
      </c>
      <c r="L173" s="1892">
        <f t="shared" si="14"/>
        <v>0</v>
      </c>
      <c r="M173" s="1893">
        <f>'Calculation (table 3.2)'!L173</f>
        <v>0</v>
      </c>
      <c r="N173" s="1894" t="str">
        <f t="shared" si="15"/>
        <v>NA</v>
      </c>
      <c r="O173" s="1892">
        <v>0</v>
      </c>
      <c r="P173" s="1892">
        <f t="shared" si="16"/>
        <v>0</v>
      </c>
      <c r="Q173" s="1890"/>
    </row>
    <row r="174" spans="1:17">
      <c r="A174" s="1889" t="s">
        <v>1614</v>
      </c>
      <c r="B174" s="1889">
        <v>0</v>
      </c>
      <c r="C174" s="1890">
        <v>0</v>
      </c>
      <c r="D174" s="1890">
        <v>0</v>
      </c>
      <c r="E174" s="1891">
        <f>'Calculation (table 3.2)'!E174</f>
        <v>0</v>
      </c>
      <c r="F174" s="1891">
        <f>'Calculation (table 3.2)'!F174</f>
        <v>0</v>
      </c>
      <c r="G174" s="1891">
        <f>'Calculation (table 3.2)'!G174</f>
        <v>0</v>
      </c>
      <c r="H174" s="1891">
        <f t="shared" si="12"/>
        <v>0</v>
      </c>
      <c r="I174" s="1891">
        <f>'Calculation (table 3.2)'!I174</f>
        <v>0</v>
      </c>
      <c r="J174" s="1892">
        <f t="shared" si="13"/>
        <v>0</v>
      </c>
      <c r="K174" s="1892">
        <f>'Calculation (table 3.2)'!K174</f>
        <v>0</v>
      </c>
      <c r="L174" s="1892">
        <f t="shared" si="14"/>
        <v>0</v>
      </c>
      <c r="M174" s="1893">
        <f>'Calculation (table 3.2)'!L174</f>
        <v>0</v>
      </c>
      <c r="N174" s="1894" t="str">
        <f t="shared" si="15"/>
        <v>NA</v>
      </c>
      <c r="O174" s="1892">
        <v>0</v>
      </c>
      <c r="P174" s="1892">
        <f t="shared" si="16"/>
        <v>0</v>
      </c>
      <c r="Q174" s="1890"/>
    </row>
    <row r="175" spans="1:17">
      <c r="A175" s="1889" t="s">
        <v>1614</v>
      </c>
      <c r="B175" s="1889">
        <v>0</v>
      </c>
      <c r="C175" s="1890">
        <v>0</v>
      </c>
      <c r="D175" s="1890">
        <v>0</v>
      </c>
      <c r="E175" s="1891">
        <f>'Calculation (table 3.2)'!E175</f>
        <v>0</v>
      </c>
      <c r="F175" s="1891">
        <f>'Calculation (table 3.2)'!F175</f>
        <v>0</v>
      </c>
      <c r="G175" s="1891">
        <f>'Calculation (table 3.2)'!G175</f>
        <v>0</v>
      </c>
      <c r="H175" s="1891">
        <f t="shared" si="12"/>
        <v>0</v>
      </c>
      <c r="I175" s="1891">
        <f>'Calculation (table 3.2)'!I175</f>
        <v>0</v>
      </c>
      <c r="J175" s="1892">
        <f t="shared" si="13"/>
        <v>0</v>
      </c>
      <c r="K175" s="1892">
        <f>'Calculation (table 3.2)'!K175</f>
        <v>0</v>
      </c>
      <c r="L175" s="1892">
        <f t="shared" si="14"/>
        <v>0</v>
      </c>
      <c r="M175" s="1893">
        <f>'Calculation (table 3.2)'!L175</f>
        <v>0</v>
      </c>
      <c r="N175" s="1894" t="str">
        <f t="shared" si="15"/>
        <v>NA</v>
      </c>
      <c r="O175" s="1892">
        <v>0</v>
      </c>
      <c r="P175" s="1892">
        <f>O175</f>
        <v>0</v>
      </c>
      <c r="Q175" s="1890"/>
    </row>
    <row r="176" spans="1:17">
      <c r="A176" s="1889" t="s">
        <v>1614</v>
      </c>
      <c r="B176" s="1889">
        <v>0</v>
      </c>
      <c r="C176" s="1890">
        <v>0</v>
      </c>
      <c r="D176" s="1890">
        <v>0</v>
      </c>
      <c r="E176" s="1891">
        <f>'Calculation (table 3.2)'!E176</f>
        <v>0</v>
      </c>
      <c r="F176" s="1891">
        <f>'Calculation (table 3.2)'!F176</f>
        <v>0</v>
      </c>
      <c r="G176" s="1891">
        <f>'Calculation (table 3.2)'!G176</f>
        <v>0</v>
      </c>
      <c r="H176" s="1891">
        <f t="shared" si="12"/>
        <v>0</v>
      </c>
      <c r="I176" s="1891">
        <f>'Calculation (table 3.2)'!I176</f>
        <v>0</v>
      </c>
      <c r="J176" s="1892">
        <f t="shared" si="13"/>
        <v>0</v>
      </c>
      <c r="K176" s="1892">
        <f>'Calculation (table 3.2)'!K176</f>
        <v>0</v>
      </c>
      <c r="L176" s="1892">
        <f t="shared" si="14"/>
        <v>0</v>
      </c>
      <c r="M176" s="1893">
        <f>'Calculation (table 3.2)'!L176</f>
        <v>0</v>
      </c>
      <c r="N176" s="1894" t="str">
        <f t="shared" si="15"/>
        <v>NA</v>
      </c>
      <c r="O176" s="1892">
        <v>0</v>
      </c>
      <c r="P176" s="1892">
        <f t="shared" ref="P176:P199" si="17">O176</f>
        <v>0</v>
      </c>
      <c r="Q176" s="1890"/>
    </row>
    <row r="177" spans="1:17">
      <c r="A177" s="1889" t="s">
        <v>1614</v>
      </c>
      <c r="B177" s="1889">
        <v>0</v>
      </c>
      <c r="C177" s="1890">
        <v>0</v>
      </c>
      <c r="D177" s="1890">
        <v>0</v>
      </c>
      <c r="E177" s="1891">
        <f>'Calculation (table 3.2)'!E177</f>
        <v>0</v>
      </c>
      <c r="F177" s="1891">
        <f>'Calculation (table 3.2)'!F177</f>
        <v>0</v>
      </c>
      <c r="G177" s="1891">
        <f>'Calculation (table 3.2)'!G177</f>
        <v>0</v>
      </c>
      <c r="H177" s="1891">
        <f t="shared" si="12"/>
        <v>0</v>
      </c>
      <c r="I177" s="1891">
        <f>'Calculation (table 3.2)'!I177</f>
        <v>0</v>
      </c>
      <c r="J177" s="1892">
        <f t="shared" si="13"/>
        <v>0</v>
      </c>
      <c r="K177" s="1892">
        <f>'Calculation (table 3.2)'!K177</f>
        <v>0</v>
      </c>
      <c r="L177" s="1892">
        <f t="shared" si="14"/>
        <v>0</v>
      </c>
      <c r="M177" s="1893">
        <f>'Calculation (table 3.2)'!L177</f>
        <v>0</v>
      </c>
      <c r="N177" s="1894" t="str">
        <f t="shared" si="15"/>
        <v>NA</v>
      </c>
      <c r="O177" s="1892">
        <v>0</v>
      </c>
      <c r="P177" s="1892">
        <f t="shared" si="17"/>
        <v>0</v>
      </c>
      <c r="Q177" s="1890"/>
    </row>
    <row r="178" spans="1:17">
      <c r="A178" s="1889" t="s">
        <v>1614</v>
      </c>
      <c r="B178" s="1889">
        <v>0</v>
      </c>
      <c r="C178" s="1890">
        <v>0</v>
      </c>
      <c r="D178" s="1890">
        <v>0</v>
      </c>
      <c r="E178" s="1891">
        <f>'Calculation (table 3.2)'!E178</f>
        <v>0</v>
      </c>
      <c r="F178" s="1891">
        <f>'Calculation (table 3.2)'!F178</f>
        <v>0</v>
      </c>
      <c r="G178" s="1891">
        <f>'Calculation (table 3.2)'!G178</f>
        <v>0</v>
      </c>
      <c r="H178" s="1891">
        <f t="shared" si="12"/>
        <v>0</v>
      </c>
      <c r="I178" s="1891">
        <f>'Calculation (table 3.2)'!I178</f>
        <v>0</v>
      </c>
      <c r="J178" s="1892">
        <f t="shared" si="13"/>
        <v>0</v>
      </c>
      <c r="K178" s="1892">
        <f>'Calculation (table 3.2)'!K178</f>
        <v>0</v>
      </c>
      <c r="L178" s="1892">
        <f t="shared" si="14"/>
        <v>0</v>
      </c>
      <c r="M178" s="1893">
        <f>'Calculation (table 3.2)'!L178</f>
        <v>0</v>
      </c>
      <c r="N178" s="1894" t="str">
        <f t="shared" si="15"/>
        <v>NA</v>
      </c>
      <c r="O178" s="1892">
        <v>0</v>
      </c>
      <c r="P178" s="1892">
        <f t="shared" si="17"/>
        <v>0</v>
      </c>
      <c r="Q178" s="1890"/>
    </row>
    <row r="179" spans="1:17">
      <c r="A179" s="1889" t="s">
        <v>1614</v>
      </c>
      <c r="B179" s="1889">
        <v>0</v>
      </c>
      <c r="C179" s="1890">
        <v>0</v>
      </c>
      <c r="D179" s="1890">
        <v>0</v>
      </c>
      <c r="E179" s="1891">
        <f>'Calculation (table 3.2)'!E179</f>
        <v>0</v>
      </c>
      <c r="F179" s="1891">
        <f>'Calculation (table 3.2)'!F179</f>
        <v>0</v>
      </c>
      <c r="G179" s="1891">
        <f>'Calculation (table 3.2)'!G179</f>
        <v>0</v>
      </c>
      <c r="H179" s="1891">
        <f t="shared" si="12"/>
        <v>0</v>
      </c>
      <c r="I179" s="1891">
        <f>'Calculation (table 3.2)'!I179</f>
        <v>0</v>
      </c>
      <c r="J179" s="1892">
        <f t="shared" si="13"/>
        <v>0</v>
      </c>
      <c r="K179" s="1892">
        <f>'Calculation (table 3.2)'!K179</f>
        <v>0</v>
      </c>
      <c r="L179" s="1892">
        <f t="shared" si="14"/>
        <v>0</v>
      </c>
      <c r="M179" s="1893">
        <f>'Calculation (table 3.2)'!L179</f>
        <v>0</v>
      </c>
      <c r="N179" s="1894" t="str">
        <f t="shared" si="15"/>
        <v>NA</v>
      </c>
      <c r="O179" s="1892">
        <v>0</v>
      </c>
      <c r="P179" s="1892">
        <f t="shared" si="17"/>
        <v>0</v>
      </c>
      <c r="Q179" s="1890"/>
    </row>
    <row r="180" spans="1:17">
      <c r="A180" s="1889" t="s">
        <v>1614</v>
      </c>
      <c r="B180" s="1889">
        <v>0</v>
      </c>
      <c r="C180" s="1890">
        <v>0</v>
      </c>
      <c r="D180" s="1890">
        <v>0</v>
      </c>
      <c r="E180" s="1891">
        <f>'Calculation (table 3.2)'!E180</f>
        <v>0</v>
      </c>
      <c r="F180" s="1891">
        <f>'Calculation (table 3.2)'!F180</f>
        <v>0</v>
      </c>
      <c r="G180" s="1891">
        <f>'Calculation (table 3.2)'!G180</f>
        <v>0</v>
      </c>
      <c r="H180" s="1891">
        <f t="shared" si="12"/>
        <v>0</v>
      </c>
      <c r="I180" s="1891">
        <f>'Calculation (table 3.2)'!I180</f>
        <v>0</v>
      </c>
      <c r="J180" s="1892">
        <f t="shared" si="13"/>
        <v>0</v>
      </c>
      <c r="K180" s="1892">
        <f>'Calculation (table 3.2)'!K180</f>
        <v>0</v>
      </c>
      <c r="L180" s="1892">
        <f t="shared" si="14"/>
        <v>0</v>
      </c>
      <c r="M180" s="1893">
        <f>'Calculation (table 3.2)'!L180</f>
        <v>0</v>
      </c>
      <c r="N180" s="1894" t="str">
        <f t="shared" si="15"/>
        <v>NA</v>
      </c>
      <c r="O180" s="1892">
        <v>0</v>
      </c>
      <c r="P180" s="1892">
        <f t="shared" si="17"/>
        <v>0</v>
      </c>
      <c r="Q180" s="1890"/>
    </row>
    <row r="181" spans="1:17">
      <c r="A181" s="1889" t="s">
        <v>1614</v>
      </c>
      <c r="B181" s="1889">
        <v>0</v>
      </c>
      <c r="C181" s="1890">
        <v>0</v>
      </c>
      <c r="D181" s="1890">
        <v>0</v>
      </c>
      <c r="E181" s="1891">
        <f>'Calculation (table 3.2)'!E181</f>
        <v>0</v>
      </c>
      <c r="F181" s="1891">
        <f>'Calculation (table 3.2)'!F181</f>
        <v>0</v>
      </c>
      <c r="G181" s="1891">
        <f>'Calculation (table 3.2)'!G181</f>
        <v>0</v>
      </c>
      <c r="H181" s="1891">
        <f t="shared" si="12"/>
        <v>0</v>
      </c>
      <c r="I181" s="1891">
        <f>'Calculation (table 3.2)'!I181</f>
        <v>0</v>
      </c>
      <c r="J181" s="1892">
        <f t="shared" si="13"/>
        <v>0</v>
      </c>
      <c r="K181" s="1892">
        <f>'Calculation (table 3.2)'!K181</f>
        <v>0</v>
      </c>
      <c r="L181" s="1892">
        <f t="shared" si="14"/>
        <v>0</v>
      </c>
      <c r="M181" s="1893">
        <f>'Calculation (table 3.2)'!L181</f>
        <v>0</v>
      </c>
      <c r="N181" s="1894" t="str">
        <f t="shared" si="15"/>
        <v>NA</v>
      </c>
      <c r="O181" s="1892">
        <v>0</v>
      </c>
      <c r="P181" s="1892">
        <f t="shared" si="17"/>
        <v>0</v>
      </c>
      <c r="Q181" s="1890"/>
    </row>
    <row r="182" spans="1:17">
      <c r="A182" s="1889" t="s">
        <v>1614</v>
      </c>
      <c r="B182" s="1889">
        <v>0</v>
      </c>
      <c r="C182" s="1890">
        <v>0</v>
      </c>
      <c r="D182" s="1890">
        <v>0</v>
      </c>
      <c r="E182" s="1891">
        <f>'Calculation (table 3.2)'!E182</f>
        <v>0</v>
      </c>
      <c r="F182" s="1891">
        <f>'Calculation (table 3.2)'!F182</f>
        <v>0</v>
      </c>
      <c r="G182" s="1891">
        <f>'Calculation (table 3.2)'!G182</f>
        <v>0</v>
      </c>
      <c r="H182" s="1891">
        <f t="shared" si="12"/>
        <v>0</v>
      </c>
      <c r="I182" s="1891">
        <f>'Calculation (table 3.2)'!I182</f>
        <v>0</v>
      </c>
      <c r="J182" s="1892">
        <f t="shared" si="13"/>
        <v>0</v>
      </c>
      <c r="K182" s="1892">
        <f>'Calculation (table 3.2)'!K182</f>
        <v>0</v>
      </c>
      <c r="L182" s="1892">
        <f t="shared" si="14"/>
        <v>0</v>
      </c>
      <c r="M182" s="1893">
        <f>'Calculation (table 3.2)'!L182</f>
        <v>0</v>
      </c>
      <c r="N182" s="1894" t="str">
        <f t="shared" si="15"/>
        <v>NA</v>
      </c>
      <c r="O182" s="1892">
        <v>0</v>
      </c>
      <c r="P182" s="1892">
        <f t="shared" si="17"/>
        <v>0</v>
      </c>
      <c r="Q182" s="1890"/>
    </row>
    <row r="183" spans="1:17">
      <c r="A183" s="1889" t="s">
        <v>1614</v>
      </c>
      <c r="B183" s="1889">
        <v>0</v>
      </c>
      <c r="C183" s="1890">
        <v>0</v>
      </c>
      <c r="D183" s="1890">
        <v>0</v>
      </c>
      <c r="E183" s="1891">
        <f>'Calculation (table 3.2)'!E183</f>
        <v>0</v>
      </c>
      <c r="F183" s="1891">
        <f>'Calculation (table 3.2)'!F183</f>
        <v>0</v>
      </c>
      <c r="G183" s="1891">
        <f>'Calculation (table 3.2)'!G183</f>
        <v>0</v>
      </c>
      <c r="H183" s="1891">
        <f t="shared" si="12"/>
        <v>0</v>
      </c>
      <c r="I183" s="1891">
        <f>'Calculation (table 3.2)'!I183</f>
        <v>0</v>
      </c>
      <c r="J183" s="1892">
        <f t="shared" si="13"/>
        <v>0</v>
      </c>
      <c r="K183" s="1892">
        <f>'Calculation (table 3.2)'!K183</f>
        <v>0</v>
      </c>
      <c r="L183" s="1892">
        <f t="shared" si="14"/>
        <v>0</v>
      </c>
      <c r="M183" s="1893">
        <f>'Calculation (table 3.2)'!L183</f>
        <v>0</v>
      </c>
      <c r="N183" s="1894" t="str">
        <f t="shared" si="15"/>
        <v>NA</v>
      </c>
      <c r="O183" s="1892">
        <v>0</v>
      </c>
      <c r="P183" s="1892">
        <f t="shared" si="17"/>
        <v>0</v>
      </c>
      <c r="Q183" s="1890"/>
    </row>
    <row r="184" spans="1:17">
      <c r="A184" s="1889" t="s">
        <v>1614</v>
      </c>
      <c r="B184" s="1889">
        <v>0</v>
      </c>
      <c r="C184" s="1890">
        <v>0</v>
      </c>
      <c r="D184" s="1890">
        <v>0</v>
      </c>
      <c r="E184" s="1891">
        <f>'Calculation (table 3.2)'!E184</f>
        <v>0</v>
      </c>
      <c r="F184" s="1891">
        <f>'Calculation (table 3.2)'!F184</f>
        <v>0</v>
      </c>
      <c r="G184" s="1891">
        <f>'Calculation (table 3.2)'!G184</f>
        <v>0</v>
      </c>
      <c r="H184" s="1891">
        <f t="shared" si="12"/>
        <v>0</v>
      </c>
      <c r="I184" s="1891">
        <f>'Calculation (table 3.2)'!I184</f>
        <v>0</v>
      </c>
      <c r="J184" s="1892">
        <f t="shared" si="13"/>
        <v>0</v>
      </c>
      <c r="K184" s="1892">
        <f>'Calculation (table 3.2)'!K184</f>
        <v>0</v>
      </c>
      <c r="L184" s="1892">
        <f t="shared" si="14"/>
        <v>0</v>
      </c>
      <c r="M184" s="1893">
        <f>'Calculation (table 3.2)'!L184</f>
        <v>0</v>
      </c>
      <c r="N184" s="1894" t="str">
        <f t="shared" si="15"/>
        <v>NA</v>
      </c>
      <c r="O184" s="1892">
        <v>0</v>
      </c>
      <c r="P184" s="1892">
        <f t="shared" si="17"/>
        <v>0</v>
      </c>
      <c r="Q184" s="1890"/>
    </row>
    <row r="185" spans="1:17">
      <c r="A185" s="1889" t="s">
        <v>1614</v>
      </c>
      <c r="B185" s="1889">
        <v>0</v>
      </c>
      <c r="C185" s="1890">
        <v>0</v>
      </c>
      <c r="D185" s="1890">
        <v>0</v>
      </c>
      <c r="E185" s="1891">
        <f>'Calculation (table 3.2)'!E185</f>
        <v>0</v>
      </c>
      <c r="F185" s="1891">
        <f>'Calculation (table 3.2)'!F185</f>
        <v>0</v>
      </c>
      <c r="G185" s="1891">
        <f>'Calculation (table 3.2)'!G185</f>
        <v>0</v>
      </c>
      <c r="H185" s="1891">
        <f t="shared" si="12"/>
        <v>0</v>
      </c>
      <c r="I185" s="1891">
        <f>'Calculation (table 3.2)'!I185</f>
        <v>0</v>
      </c>
      <c r="J185" s="1892">
        <f t="shared" si="13"/>
        <v>0</v>
      </c>
      <c r="K185" s="1892">
        <f>'Calculation (table 3.2)'!K185</f>
        <v>0</v>
      </c>
      <c r="L185" s="1892">
        <f t="shared" si="14"/>
        <v>0</v>
      </c>
      <c r="M185" s="1893">
        <f>'Calculation (table 3.2)'!L185</f>
        <v>0</v>
      </c>
      <c r="N185" s="1894" t="str">
        <f t="shared" si="15"/>
        <v>NA</v>
      </c>
      <c r="O185" s="1892">
        <v>0</v>
      </c>
      <c r="P185" s="1892">
        <f t="shared" si="17"/>
        <v>0</v>
      </c>
      <c r="Q185" s="1890"/>
    </row>
    <row r="186" spans="1:17">
      <c r="A186" s="1889" t="s">
        <v>1614</v>
      </c>
      <c r="B186" s="1889">
        <v>0</v>
      </c>
      <c r="C186" s="1890">
        <v>0</v>
      </c>
      <c r="D186" s="1890">
        <v>0</v>
      </c>
      <c r="E186" s="1891">
        <f>'Calculation (table 3.2)'!E186</f>
        <v>0</v>
      </c>
      <c r="F186" s="1891">
        <f>'Calculation (table 3.2)'!F186</f>
        <v>0</v>
      </c>
      <c r="G186" s="1891">
        <f>'Calculation (table 3.2)'!G186</f>
        <v>0</v>
      </c>
      <c r="H186" s="1891">
        <f t="shared" si="12"/>
        <v>0</v>
      </c>
      <c r="I186" s="1891">
        <f>'Calculation (table 3.2)'!I186</f>
        <v>0</v>
      </c>
      <c r="J186" s="1892">
        <f t="shared" si="13"/>
        <v>0</v>
      </c>
      <c r="K186" s="1892">
        <f>'Calculation (table 3.2)'!K186</f>
        <v>0</v>
      </c>
      <c r="L186" s="1892">
        <f t="shared" si="14"/>
        <v>0</v>
      </c>
      <c r="M186" s="1893">
        <f>'Calculation (table 3.2)'!L186</f>
        <v>0</v>
      </c>
      <c r="N186" s="1894" t="str">
        <f t="shared" si="15"/>
        <v>NA</v>
      </c>
      <c r="O186" s="1892">
        <v>0</v>
      </c>
      <c r="P186" s="1892">
        <f t="shared" si="17"/>
        <v>0</v>
      </c>
      <c r="Q186" s="1890"/>
    </row>
    <row r="187" spans="1:17">
      <c r="A187" s="1889" t="s">
        <v>1614</v>
      </c>
      <c r="B187" s="1889">
        <v>0</v>
      </c>
      <c r="C187" s="1890">
        <v>0</v>
      </c>
      <c r="D187" s="1890">
        <v>0</v>
      </c>
      <c r="E187" s="1891">
        <f>'Calculation (table 3.2)'!E187</f>
        <v>0</v>
      </c>
      <c r="F187" s="1891">
        <f>'Calculation (table 3.2)'!F187</f>
        <v>0</v>
      </c>
      <c r="G187" s="1891">
        <f>'Calculation (table 3.2)'!G187</f>
        <v>0</v>
      </c>
      <c r="H187" s="1891">
        <f t="shared" si="12"/>
        <v>0</v>
      </c>
      <c r="I187" s="1891">
        <f>'Calculation (table 3.2)'!I187</f>
        <v>0</v>
      </c>
      <c r="J187" s="1892">
        <f t="shared" si="13"/>
        <v>0</v>
      </c>
      <c r="K187" s="1892">
        <f>'Calculation (table 3.2)'!K187</f>
        <v>0</v>
      </c>
      <c r="L187" s="1892">
        <f t="shared" si="14"/>
        <v>0</v>
      </c>
      <c r="M187" s="1893">
        <f>'Calculation (table 3.2)'!L187</f>
        <v>0</v>
      </c>
      <c r="N187" s="1894" t="str">
        <f t="shared" si="15"/>
        <v>NA</v>
      </c>
      <c r="O187" s="1892">
        <v>0</v>
      </c>
      <c r="P187" s="1892">
        <f t="shared" si="17"/>
        <v>0</v>
      </c>
      <c r="Q187" s="1890"/>
    </row>
    <row r="188" spans="1:17">
      <c r="A188" s="1889" t="s">
        <v>1614</v>
      </c>
      <c r="B188" s="1889">
        <v>0</v>
      </c>
      <c r="C188" s="1890">
        <v>0</v>
      </c>
      <c r="D188" s="1890">
        <v>0</v>
      </c>
      <c r="E188" s="1891">
        <f>'Calculation (table 3.2)'!E188</f>
        <v>0</v>
      </c>
      <c r="F188" s="1891">
        <f>'Calculation (table 3.2)'!F188</f>
        <v>0</v>
      </c>
      <c r="G188" s="1891">
        <f>'Calculation (table 3.2)'!G188</f>
        <v>0</v>
      </c>
      <c r="H188" s="1891">
        <f t="shared" si="12"/>
        <v>0</v>
      </c>
      <c r="I188" s="1891">
        <f>'Calculation (table 3.2)'!I188</f>
        <v>0</v>
      </c>
      <c r="J188" s="1892">
        <f t="shared" si="13"/>
        <v>0</v>
      </c>
      <c r="K188" s="1892">
        <f>'Calculation (table 3.2)'!K188</f>
        <v>0</v>
      </c>
      <c r="L188" s="1892">
        <f t="shared" si="14"/>
        <v>0</v>
      </c>
      <c r="M188" s="1893">
        <f>'Calculation (table 3.2)'!L188</f>
        <v>0</v>
      </c>
      <c r="N188" s="1894" t="str">
        <f t="shared" si="15"/>
        <v>NA</v>
      </c>
      <c r="O188" s="1892">
        <v>0</v>
      </c>
      <c r="P188" s="1892">
        <f t="shared" si="17"/>
        <v>0</v>
      </c>
      <c r="Q188" s="1890"/>
    </row>
    <row r="189" spans="1:17">
      <c r="A189" s="1889" t="s">
        <v>1614</v>
      </c>
      <c r="B189" s="1889">
        <v>0</v>
      </c>
      <c r="C189" s="1890">
        <v>0</v>
      </c>
      <c r="D189" s="1890">
        <v>0</v>
      </c>
      <c r="E189" s="1891">
        <f>'Calculation (table 3.2)'!E189</f>
        <v>0</v>
      </c>
      <c r="F189" s="1891">
        <f>'Calculation (table 3.2)'!F189</f>
        <v>0</v>
      </c>
      <c r="G189" s="1891">
        <f>'Calculation (table 3.2)'!G189</f>
        <v>0</v>
      </c>
      <c r="H189" s="1891">
        <f t="shared" si="12"/>
        <v>0</v>
      </c>
      <c r="I189" s="1891">
        <f>'Calculation (table 3.2)'!I189</f>
        <v>0</v>
      </c>
      <c r="J189" s="1892">
        <f t="shared" si="13"/>
        <v>0</v>
      </c>
      <c r="K189" s="1892">
        <f>'Calculation (table 3.2)'!K189</f>
        <v>0</v>
      </c>
      <c r="L189" s="1892">
        <f t="shared" si="14"/>
        <v>0</v>
      </c>
      <c r="M189" s="1893">
        <f>'Calculation (table 3.2)'!L189</f>
        <v>0</v>
      </c>
      <c r="N189" s="1894" t="str">
        <f t="shared" si="15"/>
        <v>NA</v>
      </c>
      <c r="O189" s="1892">
        <v>0</v>
      </c>
      <c r="P189" s="1892">
        <f t="shared" si="17"/>
        <v>0</v>
      </c>
      <c r="Q189" s="1890"/>
    </row>
    <row r="190" spans="1:17">
      <c r="A190" s="1889" t="s">
        <v>1614</v>
      </c>
      <c r="B190" s="1889">
        <v>0</v>
      </c>
      <c r="C190" s="1890">
        <v>0</v>
      </c>
      <c r="D190" s="1890">
        <v>0</v>
      </c>
      <c r="E190" s="1891">
        <f>'Calculation (table 3.2)'!E190</f>
        <v>0</v>
      </c>
      <c r="F190" s="1891">
        <f>'Calculation (table 3.2)'!F190</f>
        <v>0</v>
      </c>
      <c r="G190" s="1891">
        <f>'Calculation (table 3.2)'!G190</f>
        <v>0</v>
      </c>
      <c r="H190" s="1891">
        <f t="shared" si="12"/>
        <v>0</v>
      </c>
      <c r="I190" s="1891">
        <f>'Calculation (table 3.2)'!I190</f>
        <v>0</v>
      </c>
      <c r="J190" s="1892">
        <f t="shared" si="13"/>
        <v>0</v>
      </c>
      <c r="K190" s="1892">
        <f>'Calculation (table 3.2)'!K190</f>
        <v>0</v>
      </c>
      <c r="L190" s="1892">
        <f t="shared" si="14"/>
        <v>0</v>
      </c>
      <c r="M190" s="1893">
        <f>'Calculation (table 3.2)'!L190</f>
        <v>0</v>
      </c>
      <c r="N190" s="1894" t="str">
        <f t="shared" si="15"/>
        <v>NA</v>
      </c>
      <c r="O190" s="1892">
        <v>0</v>
      </c>
      <c r="P190" s="1892">
        <f t="shared" si="17"/>
        <v>0</v>
      </c>
      <c r="Q190" s="1890"/>
    </row>
    <row r="191" spans="1:17">
      <c r="A191" s="1889" t="s">
        <v>1614</v>
      </c>
      <c r="B191" s="1889">
        <v>0</v>
      </c>
      <c r="C191" s="1890">
        <v>0</v>
      </c>
      <c r="D191" s="1890">
        <v>0</v>
      </c>
      <c r="E191" s="1891">
        <f>'Calculation (table 3.2)'!E191</f>
        <v>0</v>
      </c>
      <c r="F191" s="1891">
        <f>'Calculation (table 3.2)'!F191</f>
        <v>0</v>
      </c>
      <c r="G191" s="1891">
        <f>'Calculation (table 3.2)'!G191</f>
        <v>0</v>
      </c>
      <c r="H191" s="1891">
        <f t="shared" si="12"/>
        <v>0</v>
      </c>
      <c r="I191" s="1891">
        <f>'Calculation (table 3.2)'!I191</f>
        <v>0</v>
      </c>
      <c r="J191" s="1892">
        <f t="shared" si="13"/>
        <v>0</v>
      </c>
      <c r="K191" s="1892">
        <f>'Calculation (table 3.2)'!K191</f>
        <v>0</v>
      </c>
      <c r="L191" s="1892">
        <f t="shared" si="14"/>
        <v>0</v>
      </c>
      <c r="M191" s="1893">
        <f>'Calculation (table 3.2)'!L191</f>
        <v>0</v>
      </c>
      <c r="N191" s="1894" t="str">
        <f t="shared" si="15"/>
        <v>NA</v>
      </c>
      <c r="O191" s="1892">
        <v>0</v>
      </c>
      <c r="P191" s="1892">
        <f t="shared" si="17"/>
        <v>0</v>
      </c>
      <c r="Q191" s="1890"/>
    </row>
    <row r="192" spans="1:17">
      <c r="A192" s="1889" t="s">
        <v>1614</v>
      </c>
      <c r="B192" s="1889">
        <v>0</v>
      </c>
      <c r="C192" s="1890">
        <v>0</v>
      </c>
      <c r="D192" s="1890">
        <v>0</v>
      </c>
      <c r="E192" s="1891">
        <f>'Calculation (table 3.2)'!E192</f>
        <v>0</v>
      </c>
      <c r="F192" s="1891">
        <f>'Calculation (table 3.2)'!F192</f>
        <v>0</v>
      </c>
      <c r="G192" s="1891">
        <f>'Calculation (table 3.2)'!G192</f>
        <v>0</v>
      </c>
      <c r="H192" s="1891">
        <f t="shared" si="12"/>
        <v>0</v>
      </c>
      <c r="I192" s="1891">
        <f>'Calculation (table 3.2)'!I192</f>
        <v>0</v>
      </c>
      <c r="J192" s="1892">
        <f t="shared" si="13"/>
        <v>0</v>
      </c>
      <c r="K192" s="1892">
        <f>'Calculation (table 3.2)'!K192</f>
        <v>0</v>
      </c>
      <c r="L192" s="1892">
        <f t="shared" si="14"/>
        <v>0</v>
      </c>
      <c r="M192" s="1893">
        <f>'Calculation (table 3.2)'!L192</f>
        <v>0</v>
      </c>
      <c r="N192" s="1894" t="str">
        <f t="shared" si="15"/>
        <v>NA</v>
      </c>
      <c r="O192" s="1892">
        <v>0</v>
      </c>
      <c r="P192" s="1892">
        <f t="shared" si="17"/>
        <v>0</v>
      </c>
      <c r="Q192" s="1890"/>
    </row>
    <row r="193" spans="1:17">
      <c r="A193" s="1889" t="s">
        <v>1614</v>
      </c>
      <c r="B193" s="1889">
        <v>0</v>
      </c>
      <c r="C193" s="1890">
        <v>0</v>
      </c>
      <c r="D193" s="1890">
        <v>0</v>
      </c>
      <c r="E193" s="1891">
        <f>'Calculation (table 3.2)'!E193</f>
        <v>0</v>
      </c>
      <c r="F193" s="1891">
        <f>'Calculation (table 3.2)'!F193</f>
        <v>0</v>
      </c>
      <c r="G193" s="1891">
        <f>'Calculation (table 3.2)'!G193</f>
        <v>0</v>
      </c>
      <c r="H193" s="1891">
        <f t="shared" si="12"/>
        <v>0</v>
      </c>
      <c r="I193" s="1891">
        <f>'Calculation (table 3.2)'!I193</f>
        <v>0</v>
      </c>
      <c r="J193" s="1892">
        <f t="shared" si="13"/>
        <v>0</v>
      </c>
      <c r="K193" s="1892">
        <f>'Calculation (table 3.2)'!K193</f>
        <v>0</v>
      </c>
      <c r="L193" s="1892">
        <f t="shared" si="14"/>
        <v>0</v>
      </c>
      <c r="M193" s="1893">
        <f>'Calculation (table 3.2)'!L193</f>
        <v>0</v>
      </c>
      <c r="N193" s="1894" t="str">
        <f t="shared" si="15"/>
        <v>NA</v>
      </c>
      <c r="O193" s="1892">
        <v>0</v>
      </c>
      <c r="P193" s="1892">
        <f t="shared" si="17"/>
        <v>0</v>
      </c>
      <c r="Q193" s="1890"/>
    </row>
    <row r="194" spans="1:17">
      <c r="A194" s="1889" t="s">
        <v>1614</v>
      </c>
      <c r="B194" s="1889">
        <v>0</v>
      </c>
      <c r="C194" s="1890">
        <v>0</v>
      </c>
      <c r="D194" s="1890">
        <v>0</v>
      </c>
      <c r="E194" s="1891">
        <f>'Calculation (table 3.2)'!E194</f>
        <v>0</v>
      </c>
      <c r="F194" s="1891">
        <f>'Calculation (table 3.2)'!F194</f>
        <v>0</v>
      </c>
      <c r="G194" s="1891">
        <f>'Calculation (table 3.2)'!G194</f>
        <v>0</v>
      </c>
      <c r="H194" s="1891">
        <f t="shared" si="12"/>
        <v>0</v>
      </c>
      <c r="I194" s="1891">
        <f>'Calculation (table 3.2)'!I194</f>
        <v>0</v>
      </c>
      <c r="J194" s="1892">
        <f t="shared" si="13"/>
        <v>0</v>
      </c>
      <c r="K194" s="1892">
        <f>'Calculation (table 3.2)'!K194</f>
        <v>0</v>
      </c>
      <c r="L194" s="1892">
        <f t="shared" si="14"/>
        <v>0</v>
      </c>
      <c r="M194" s="1893">
        <f>'Calculation (table 3.2)'!L194</f>
        <v>0</v>
      </c>
      <c r="N194" s="1894" t="str">
        <f t="shared" si="15"/>
        <v>NA</v>
      </c>
      <c r="O194" s="1892">
        <v>0</v>
      </c>
      <c r="P194" s="1892">
        <f t="shared" si="17"/>
        <v>0</v>
      </c>
      <c r="Q194" s="1890"/>
    </row>
    <row r="195" spans="1:17">
      <c r="A195" s="1889" t="s">
        <v>1614</v>
      </c>
      <c r="B195" s="1889">
        <v>0</v>
      </c>
      <c r="C195" s="1890">
        <v>0</v>
      </c>
      <c r="D195" s="1890">
        <v>0</v>
      </c>
      <c r="E195" s="1891">
        <f>'Calculation (table 3.2)'!E195</f>
        <v>0</v>
      </c>
      <c r="F195" s="1891">
        <f>'Calculation (table 3.2)'!F195</f>
        <v>0</v>
      </c>
      <c r="G195" s="1891">
        <f>'Calculation (table 3.2)'!G195</f>
        <v>0</v>
      </c>
      <c r="H195" s="1891">
        <f t="shared" si="12"/>
        <v>0</v>
      </c>
      <c r="I195" s="1891">
        <f>'Calculation (table 3.2)'!I195</f>
        <v>0</v>
      </c>
      <c r="J195" s="1892">
        <f t="shared" si="13"/>
        <v>0</v>
      </c>
      <c r="K195" s="1892">
        <f>'Calculation (table 3.2)'!K195</f>
        <v>0</v>
      </c>
      <c r="L195" s="1892">
        <f t="shared" si="14"/>
        <v>0</v>
      </c>
      <c r="M195" s="1893">
        <f>'Calculation (table 3.2)'!L195</f>
        <v>0</v>
      </c>
      <c r="N195" s="1894" t="str">
        <f t="shared" si="15"/>
        <v>NA</v>
      </c>
      <c r="O195" s="1892">
        <v>0</v>
      </c>
      <c r="P195" s="1892">
        <f t="shared" si="17"/>
        <v>0</v>
      </c>
      <c r="Q195" s="1890"/>
    </row>
    <row r="196" spans="1:17">
      <c r="A196" s="1889" t="s">
        <v>1614</v>
      </c>
      <c r="B196" s="1889">
        <v>0</v>
      </c>
      <c r="C196" s="1890">
        <v>0</v>
      </c>
      <c r="D196" s="1890">
        <v>0</v>
      </c>
      <c r="E196" s="1891">
        <f>'Calculation (table 3.2)'!E196</f>
        <v>0</v>
      </c>
      <c r="F196" s="1891">
        <f>'Calculation (table 3.2)'!F196</f>
        <v>0</v>
      </c>
      <c r="G196" s="1891">
        <f>'Calculation (table 3.2)'!G196</f>
        <v>0</v>
      </c>
      <c r="H196" s="1891">
        <f t="shared" ref="H196:H199" si="18">G196</f>
        <v>0</v>
      </c>
      <c r="I196" s="1891">
        <f>'Calculation (table 3.2)'!I196</f>
        <v>0</v>
      </c>
      <c r="J196" s="1892">
        <f t="shared" ref="J196:J199" si="19">I196</f>
        <v>0</v>
      </c>
      <c r="K196" s="1892">
        <f>'Calculation (table 3.2)'!K196</f>
        <v>0</v>
      </c>
      <c r="L196" s="1892">
        <f t="shared" ref="L196:L199" si="20">K196</f>
        <v>0</v>
      </c>
      <c r="M196" s="1893">
        <f>'Calculation (table 3.2)'!L196</f>
        <v>0</v>
      </c>
      <c r="N196" s="1894" t="str">
        <f t="shared" ref="N196:N199" si="21">IF(E196=0,"NA",100*(F196-E196)/E196)</f>
        <v>NA</v>
      </c>
      <c r="O196" s="1892">
        <v>0</v>
      </c>
      <c r="P196" s="1892">
        <f t="shared" si="17"/>
        <v>0</v>
      </c>
      <c r="Q196" s="1890"/>
    </row>
    <row r="197" spans="1:17">
      <c r="A197" s="1889" t="s">
        <v>1614</v>
      </c>
      <c r="B197" s="1889">
        <v>0</v>
      </c>
      <c r="C197" s="1890">
        <v>0</v>
      </c>
      <c r="D197" s="1890">
        <v>0</v>
      </c>
      <c r="E197" s="1891">
        <f>'Calculation (table 3.2)'!E197</f>
        <v>0</v>
      </c>
      <c r="F197" s="1891">
        <f>'Calculation (table 3.2)'!F197</f>
        <v>0</v>
      </c>
      <c r="G197" s="1891">
        <f>'Calculation (table 3.2)'!G197</f>
        <v>0</v>
      </c>
      <c r="H197" s="1891">
        <f t="shared" si="18"/>
        <v>0</v>
      </c>
      <c r="I197" s="1891">
        <f>'Calculation (table 3.2)'!I197</f>
        <v>0</v>
      </c>
      <c r="J197" s="1892">
        <f t="shared" si="19"/>
        <v>0</v>
      </c>
      <c r="K197" s="1892">
        <f>'Calculation (table 3.2)'!K197</f>
        <v>0</v>
      </c>
      <c r="L197" s="1892">
        <f t="shared" si="20"/>
        <v>0</v>
      </c>
      <c r="M197" s="1893">
        <f>'Calculation (table 3.2)'!L197</f>
        <v>0</v>
      </c>
      <c r="N197" s="1894" t="str">
        <f t="shared" si="21"/>
        <v>NA</v>
      </c>
      <c r="O197" s="1892">
        <v>0</v>
      </c>
      <c r="P197" s="1892">
        <f t="shared" si="17"/>
        <v>0</v>
      </c>
      <c r="Q197" s="1890"/>
    </row>
    <row r="198" spans="1:17">
      <c r="A198" s="1889" t="s">
        <v>1614</v>
      </c>
      <c r="B198" s="1889">
        <v>0</v>
      </c>
      <c r="C198" s="1890">
        <v>0</v>
      </c>
      <c r="D198" s="1890">
        <v>0</v>
      </c>
      <c r="E198" s="1891">
        <f>'Calculation (table 3.2)'!E198</f>
        <v>0</v>
      </c>
      <c r="F198" s="1891">
        <f>'Calculation (table 3.2)'!F198</f>
        <v>0</v>
      </c>
      <c r="G198" s="1891">
        <f>'Calculation (table 3.2)'!G198</f>
        <v>0</v>
      </c>
      <c r="H198" s="1891">
        <f t="shared" si="18"/>
        <v>0</v>
      </c>
      <c r="I198" s="1891">
        <f>'Calculation (table 3.2)'!I198</f>
        <v>0</v>
      </c>
      <c r="J198" s="1892">
        <f t="shared" si="19"/>
        <v>0</v>
      </c>
      <c r="K198" s="1892">
        <f>'Calculation (table 3.2)'!K198</f>
        <v>0</v>
      </c>
      <c r="L198" s="1892">
        <f t="shared" si="20"/>
        <v>0</v>
      </c>
      <c r="M198" s="1893">
        <f>'Calculation (table 3.2)'!L198</f>
        <v>0</v>
      </c>
      <c r="N198" s="1894" t="str">
        <f t="shared" si="21"/>
        <v>NA</v>
      </c>
      <c r="O198" s="1892">
        <v>0</v>
      </c>
      <c r="P198" s="1892">
        <f t="shared" si="17"/>
        <v>0</v>
      </c>
      <c r="Q198" s="1890"/>
    </row>
    <row r="199" spans="1:17" ht="15" thickBot="1">
      <c r="A199" s="1889" t="s">
        <v>1614</v>
      </c>
      <c r="B199" s="1889">
        <v>0</v>
      </c>
      <c r="C199" s="1890">
        <v>0</v>
      </c>
      <c r="D199" s="1890">
        <v>0</v>
      </c>
      <c r="E199" s="1891">
        <f>'Calculation (table 3.2)'!E199</f>
        <v>0</v>
      </c>
      <c r="F199" s="1891">
        <f>'Calculation (table 3.2)'!F199</f>
        <v>0</v>
      </c>
      <c r="G199" s="1891">
        <f>'Calculation (table 3.2)'!G199</f>
        <v>0</v>
      </c>
      <c r="H199" s="1891">
        <f t="shared" si="18"/>
        <v>0</v>
      </c>
      <c r="I199" s="1891">
        <f>'Calculation (table 3.2)'!I199</f>
        <v>0</v>
      </c>
      <c r="J199" s="1892">
        <f t="shared" si="19"/>
        <v>0</v>
      </c>
      <c r="K199" s="1892">
        <f>'Calculation (table 3.2)'!K199</f>
        <v>0</v>
      </c>
      <c r="L199" s="1892">
        <f t="shared" si="20"/>
        <v>0</v>
      </c>
      <c r="M199" s="1893">
        <f>'Calculation (table 3.2)'!L199</f>
        <v>0</v>
      </c>
      <c r="N199" s="1894" t="str">
        <f t="shared" si="21"/>
        <v>NA</v>
      </c>
      <c r="O199" s="1892">
        <v>0</v>
      </c>
      <c r="P199" s="1892">
        <f t="shared" si="17"/>
        <v>0</v>
      </c>
      <c r="Q199" s="1890"/>
    </row>
    <row r="200" spans="1:17" ht="15" thickBot="1">
      <c r="A200" s="1895" t="s">
        <v>46</v>
      </c>
      <c r="B200" s="1896"/>
      <c r="C200" s="1896"/>
      <c r="D200" s="1896"/>
      <c r="E200" s="1897">
        <f>'Calculation (table 3.2)'!E200</f>
        <v>12782.563411467507</v>
      </c>
      <c r="F200" s="1897">
        <f>'Calculation (table 3.2)'!F200</f>
        <v>12202.848741962242</v>
      </c>
      <c r="G200" s="1896"/>
      <c r="H200" s="1896"/>
      <c r="I200" s="1896"/>
      <c r="J200" s="1896"/>
      <c r="K200" s="1898">
        <v>43.969669355036046</v>
      </c>
      <c r="L200" s="1898">
        <f>K200</f>
        <v>43.969669355036046</v>
      </c>
      <c r="M200" s="1896"/>
      <c r="N200" s="1898">
        <f>IF(E200=0,"NA",100*(F200-E200)/E200)</f>
        <v>-4.5351988552248521</v>
      </c>
      <c r="O200" s="1898">
        <v>34.428318800187228</v>
      </c>
      <c r="P200" s="1898">
        <f>O200</f>
        <v>34.428318800187228</v>
      </c>
      <c r="Q200" s="1899"/>
    </row>
  </sheetData>
  <mergeCells count="8">
    <mergeCell ref="K1:L1"/>
    <mergeCell ref="O1:P1"/>
    <mergeCell ref="A1:A2"/>
    <mergeCell ref="B1:B2"/>
    <mergeCell ref="C1:C2"/>
    <mergeCell ref="D1:D2"/>
    <mergeCell ref="G1:H1"/>
    <mergeCell ref="I1:J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CB78-A0D6-448B-A060-9FD54DC17EC1}">
  <dimension ref="A1:E10"/>
  <sheetViews>
    <sheetView workbookViewId="0">
      <selection activeCell="G10" sqref="G10"/>
    </sheetView>
  </sheetViews>
  <sheetFormatPr defaultColWidth="8" defaultRowHeight="14.5"/>
  <cols>
    <col min="1" max="3" width="16.9140625" style="1881" customWidth="1"/>
    <col min="4" max="4" width="13.08203125" style="1881" customWidth="1"/>
    <col min="5" max="5" width="13.58203125" style="1881" customWidth="1"/>
    <col min="6" max="16384" width="8" style="1881"/>
  </cols>
  <sheetData>
    <row r="1" spans="1:5" ht="58">
      <c r="A1" s="2867" t="s">
        <v>82</v>
      </c>
      <c r="B1" s="1901" t="s">
        <v>2136</v>
      </c>
      <c r="C1" s="1901" t="s">
        <v>2137</v>
      </c>
      <c r="D1" s="1901" t="s">
        <v>2138</v>
      </c>
      <c r="E1" s="1901" t="s">
        <v>2139</v>
      </c>
    </row>
    <row r="2" spans="1:5" ht="16.5">
      <c r="A2" s="2868"/>
      <c r="B2" s="1902" t="s">
        <v>2140</v>
      </c>
      <c r="C2" s="1902" t="s">
        <v>2140</v>
      </c>
      <c r="D2" s="1901" t="s">
        <v>512</v>
      </c>
      <c r="E2" s="1901" t="s">
        <v>512</v>
      </c>
    </row>
    <row r="3" spans="1:5">
      <c r="A3" s="1903" t="s">
        <v>1978</v>
      </c>
      <c r="B3" s="1904">
        <f>SUMIF('Calculation (table 3.2)'!$A$3:$A$199,'Reporting summary by sector'!$A3,'Calculation (table 3.2)'!$E$3:$E$199)</f>
        <v>0</v>
      </c>
      <c r="C3" s="1904">
        <f>SUMIF('Calculation (table 3.2)'!$A$3:$A$199,'Reporting summary by sector'!$A3,'Calculation (table 3.2)'!$F$3:$F$199)</f>
        <v>0</v>
      </c>
      <c r="D3" s="1904">
        <f>SUMIF('Calculation (table 3.2)'!$A$3:$A$199,'Reporting summary by sector'!$A3,'Calculation (table 3.2)'!$L$3:$L$199)/'Calculation (table 3.2)'!$L$200*100</f>
        <v>0</v>
      </c>
      <c r="E3" s="1904">
        <f>SUMIF('Calculation (table 3.2)'!$A$3:$A$199,'Reporting summary by sector'!$A3,'Calculation (table 3.2)'!$Q$3:$Q$199)/'Calculation (table 3.2)'!$Q$200*100</f>
        <v>0</v>
      </c>
    </row>
    <row r="4" spans="1:5">
      <c r="A4" s="1903" t="s">
        <v>2028</v>
      </c>
      <c r="B4" s="1904">
        <f>SUMIF('Calculation (table 3.2)'!$A$3:$A$199,'Reporting summary by sector'!$A4,'Calculation (table 3.2)'!$E$3:$E$199)</f>
        <v>0</v>
      </c>
      <c r="C4" s="1904">
        <f>SUMIF('Calculation (table 3.2)'!$A$3:$A$199,'Reporting summary by sector'!$A4,'Calculation (table 3.2)'!$F$3:$F$199)</f>
        <v>0</v>
      </c>
      <c r="D4" s="1904">
        <f>SUMIF('Calculation (table 3.2)'!$A$3:$A$199,'Reporting summary by sector'!$A4,'Calculation (table 3.2)'!$L$3:$L$199)/'Calculation (table 3.2)'!$L$200*100</f>
        <v>0</v>
      </c>
      <c r="E4" s="1904">
        <f>SUMIF('Calculation (table 3.2)'!$A$3:$A$199,'Reporting summary by sector'!$A4,'Calculation (table 3.2)'!$Q$3:$Q$199)/'Calculation (table 3.2)'!$Q$200*100</f>
        <v>0</v>
      </c>
    </row>
    <row r="5" spans="1:5">
      <c r="A5" s="1903" t="s">
        <v>2072</v>
      </c>
      <c r="B5" s="1904">
        <f>SUMIF('Calculation (table 3.2)'!$A$3:$A$199,'Reporting summary by sector'!$A5,'Calculation (table 3.2)'!$E$3:$E$199)</f>
        <v>12782.563411467507</v>
      </c>
      <c r="C5" s="1904">
        <f>SUMIF('Calculation (table 3.2)'!$A$3:$A$199,'Reporting summary by sector'!$A5,'Calculation (table 3.2)'!$F$3:$F$199)</f>
        <v>12202.848741962242</v>
      </c>
      <c r="D5" s="1904">
        <f>SUMIF('Calculation (table 3.2)'!$A$3:$A$199,'Reporting summary by sector'!$A5,'Calculation (table 3.2)'!$L$3:$L$199)/'Calculation (table 3.2)'!$L$200*100</f>
        <v>100</v>
      </c>
      <c r="E5" s="1904">
        <f>SUMIF('Calculation (table 3.2)'!$A$3:$A$199,'Reporting summary by sector'!$A5,'Calculation (table 3.2)'!$Q$3:$Q$199)/'Calculation (table 3.2)'!$Q$200*100</f>
        <v>100</v>
      </c>
    </row>
    <row r="6" spans="1:5">
      <c r="A6" s="1903" t="s">
        <v>2114</v>
      </c>
      <c r="B6" s="1904">
        <f>SUMIF('Calculation (table 3.2)'!$A$3:$A$199,'Reporting summary by sector'!$A6,'Calculation (table 3.2)'!$E$3:$E$199)</f>
        <v>0</v>
      </c>
      <c r="C6" s="1904">
        <f>SUMIF('Calculation (table 3.2)'!$A$3:$A$199,'Reporting summary by sector'!$A6,'Calculation (table 3.2)'!$F$3:$F$199)</f>
        <v>0</v>
      </c>
      <c r="D6" s="1904">
        <f>SUMIF('Calculation (table 3.2)'!$A$3:$A$199,'Reporting summary by sector'!$A6,'Calculation (table 3.2)'!$L$3:$L$199)/'Calculation (table 3.2)'!$L$200*100</f>
        <v>0</v>
      </c>
      <c r="E6" s="1904">
        <f>SUMIF('Calculation (table 3.2)'!$A$3:$A$199,'Reporting summary by sector'!$A6,'Calculation (table 3.2)'!$Q$3:$Q$199)/'Calculation (table 3.2)'!$Q$200*100</f>
        <v>0</v>
      </c>
    </row>
    <row r="7" spans="1:5">
      <c r="A7" s="1903" t="s">
        <v>1614</v>
      </c>
      <c r="B7" s="1904">
        <f>SUMIF('Calculation (table 3.2)'!$A$3:$A$199,'Reporting summary by sector'!$A7,'Calculation (table 3.2)'!$E$3:$E$199)</f>
        <v>0</v>
      </c>
      <c r="C7" s="1904">
        <f>SUMIF('Calculation (table 3.2)'!$A$3:$A$199,'Reporting summary by sector'!$A7,'Calculation (table 3.2)'!$F$3:$F$199)</f>
        <v>0</v>
      </c>
      <c r="D7" s="1904">
        <f>SUMIF('Calculation (table 3.2)'!$A$3:$A$199,'Reporting summary by sector'!$A7,'Calculation (table 3.2)'!$L$3:$L$199)/'Calculation (table 3.2)'!$L$200*100</f>
        <v>0</v>
      </c>
      <c r="E7" s="1904">
        <f>SUMIF('Calculation (table 3.2)'!$A$3:$A$199,'Reporting summary by sector'!$A7,'Calculation (table 3.2)'!$Q$3:$Q$199)/'Calculation (table 3.2)'!$Q$200*100</f>
        <v>0</v>
      </c>
    </row>
    <row r="8" spans="1:5">
      <c r="A8" s="1903" t="s">
        <v>46</v>
      </c>
      <c r="B8" s="1904">
        <f>SUM(B3:B7)</f>
        <v>12782.563411467507</v>
      </c>
      <c r="C8" s="1904">
        <f>SUM(C3:C7)</f>
        <v>12202.848741962242</v>
      </c>
      <c r="D8" s="1904">
        <f>SUM(D3:D7)</f>
        <v>100</v>
      </c>
      <c r="E8" s="1904">
        <f>SUM(E3:E7)</f>
        <v>100</v>
      </c>
    </row>
    <row r="9" spans="1:5" ht="29">
      <c r="A9" s="1903" t="s">
        <v>2141</v>
      </c>
      <c r="B9" s="1904"/>
      <c r="C9" s="1904"/>
      <c r="D9" s="1905">
        <f>'Calculation (table 3.2)'!$L$201</f>
        <v>19.360968022980114</v>
      </c>
      <c r="E9" s="1905">
        <f>'Calculation (table 3.2)'!$Q$201</f>
        <v>25.994793461368516</v>
      </c>
    </row>
    <row r="10" spans="1:5" ht="29">
      <c r="A10" s="1903" t="s">
        <v>2142</v>
      </c>
      <c r="B10" s="1904">
        <f>SUMIF('Calculation (table 3.2)'!$R$3:$R$199,"N",'Calculation (table 3.2)'!$E$3:$E$199)</f>
        <v>12782.563411467507</v>
      </c>
      <c r="C10" s="1904">
        <f>SUMIF('Calculation (table 3.2)'!$R$3:$R$199,"N",'Calculation (table 3.2)'!$F$3:$F$199)</f>
        <v>12202.848741962242</v>
      </c>
      <c r="D10" s="1905">
        <f>SQRT(SUMIF('Calculation (table 3.2)'!$R$3:$R$199,"N",'Calculation (table 3.2)'!$L$3:$L$199))</f>
        <v>19.360968022980114</v>
      </c>
      <c r="E10" s="1905">
        <f>SQRT(SUMIF('Calculation (table 3.2)'!$R$3:$R$199,"N",'Calculation (table 3.2)'!$Q$3:$Q$199))</f>
        <v>25.994793461368516</v>
      </c>
    </row>
  </sheetData>
  <mergeCells count="1">
    <mergeCell ref="A1:A2"/>
  </mergeCells>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1A14-E5AD-4567-990D-6B4392C05A44}">
  <dimension ref="A1:W184"/>
  <sheetViews>
    <sheetView showGridLines="0" topLeftCell="A68" zoomScale="60" zoomScaleNormal="60" workbookViewId="0">
      <selection activeCell="Y65" sqref="Y65:Z65"/>
    </sheetView>
  </sheetViews>
  <sheetFormatPr defaultColWidth="10.6640625" defaultRowHeight="14"/>
  <cols>
    <col min="1" max="1" width="4.9140625" customWidth="1"/>
    <col min="2" max="5" width="4.9140625" hidden="1" customWidth="1"/>
    <col min="6" max="6" width="9.5" style="559" hidden="1" customWidth="1"/>
    <col min="7" max="7" width="4.9140625" style="559" hidden="1" customWidth="1"/>
    <col min="8" max="8" width="4.9140625" style="1933" hidden="1" customWidth="1"/>
    <col min="9" max="9" width="4.9140625" style="1934" hidden="1" customWidth="1"/>
    <col min="10" max="11" width="4.9140625" hidden="1" customWidth="1"/>
    <col min="12" max="12" width="4.9140625" customWidth="1"/>
    <col min="13" max="13" width="3.83203125" customWidth="1"/>
    <col min="14" max="14" width="8.08203125" customWidth="1"/>
    <col min="15" max="15" width="18" customWidth="1"/>
    <col min="16" max="16" width="45.75" style="571" customWidth="1"/>
    <col min="17" max="17" width="9.08203125" style="571" customWidth="1"/>
    <col min="18" max="18" width="15.33203125" customWidth="1"/>
    <col min="19" max="19" width="15.08203125" style="1934" customWidth="1"/>
    <col min="20" max="20" width="10.08203125" style="571" customWidth="1"/>
    <col min="21" max="21" width="14.08203125" style="1906" customWidth="1"/>
    <col min="22" max="22" width="14.58203125" customWidth="1"/>
    <col min="23" max="23" width="13.08203125" customWidth="1"/>
  </cols>
  <sheetData>
    <row r="1" spans="1:23">
      <c r="B1" s="571"/>
      <c r="C1" s="571"/>
      <c r="D1" s="571"/>
      <c r="E1" s="571"/>
      <c r="F1" s="1906"/>
      <c r="G1" s="1906"/>
      <c r="H1" s="1907"/>
      <c r="I1" s="1908"/>
      <c r="J1" s="571"/>
      <c r="K1" s="571"/>
      <c r="R1" s="571"/>
      <c r="S1" s="1908"/>
    </row>
    <row r="2" spans="1:23" ht="18">
      <c r="B2" s="573" t="s">
        <v>832</v>
      </c>
      <c r="C2" s="573"/>
      <c r="D2" s="571"/>
      <c r="E2" s="571"/>
      <c r="F2" s="1906"/>
      <c r="G2" s="1907"/>
      <c r="H2" s="1907"/>
      <c r="I2" s="642" t="s">
        <v>898</v>
      </c>
      <c r="J2" s="571"/>
      <c r="K2" s="571"/>
      <c r="R2" s="571"/>
      <c r="S2" s="1908"/>
    </row>
    <row r="3" spans="1:23">
      <c r="B3" s="574" t="s">
        <v>833</v>
      </c>
      <c r="C3" s="575"/>
      <c r="D3" s="575"/>
      <c r="E3" s="575"/>
      <c r="F3" s="1909"/>
      <c r="G3" s="1910"/>
      <c r="H3" s="1910"/>
      <c r="I3" s="1911"/>
      <c r="J3" s="575"/>
      <c r="K3" s="577"/>
      <c r="R3" s="575"/>
      <c r="S3" s="707"/>
    </row>
    <row r="4" spans="1:23" ht="35.5" customHeight="1">
      <c r="B4" s="2842"/>
      <c r="C4" s="2843"/>
      <c r="D4" s="2843"/>
      <c r="E4" s="2843"/>
      <c r="F4" s="2843"/>
      <c r="G4" s="2843"/>
      <c r="H4" s="2843"/>
      <c r="I4" s="2843"/>
      <c r="J4" s="2843"/>
      <c r="K4" s="2844"/>
      <c r="L4" s="677"/>
      <c r="M4" s="677"/>
      <c r="N4" s="677"/>
      <c r="O4" s="677"/>
      <c r="R4" s="571"/>
      <c r="S4" s="571"/>
    </row>
    <row r="5" spans="1:23" ht="35.15" customHeight="1">
      <c r="B5" s="2845" t="s">
        <v>834</v>
      </c>
      <c r="C5" s="2846"/>
      <c r="D5" s="2846"/>
      <c r="E5" s="2846"/>
      <c r="F5" s="2846"/>
      <c r="G5" s="2846"/>
      <c r="H5" s="2846"/>
      <c r="I5" s="2846"/>
      <c r="J5" s="2846"/>
      <c r="K5" s="2847"/>
      <c r="L5" s="678"/>
      <c r="M5" s="678"/>
      <c r="N5" s="678"/>
      <c r="O5" s="678"/>
      <c r="R5" s="571"/>
      <c r="S5" s="571"/>
    </row>
    <row r="6" spans="1:23" ht="74.150000000000006" customHeight="1">
      <c r="B6" s="2845" t="s">
        <v>835</v>
      </c>
      <c r="C6" s="2846"/>
      <c r="D6" s="2846"/>
      <c r="E6" s="2846"/>
      <c r="F6" s="2846"/>
      <c r="G6" s="2846"/>
      <c r="H6" s="2846"/>
      <c r="I6" s="2846"/>
      <c r="J6" s="2846"/>
      <c r="K6" s="2847"/>
      <c r="L6" s="678"/>
      <c r="M6" s="678"/>
      <c r="N6" s="678"/>
      <c r="O6" s="678"/>
      <c r="R6" s="571"/>
      <c r="S6" s="571"/>
    </row>
    <row r="7" spans="1:23">
      <c r="B7" s="571"/>
      <c r="C7" s="571"/>
      <c r="D7" s="571"/>
      <c r="E7" s="571"/>
      <c r="F7" s="1906"/>
      <c r="G7" s="1906"/>
      <c r="H7" s="1907"/>
      <c r="I7" s="1908"/>
      <c r="J7" s="571"/>
      <c r="K7" s="571"/>
      <c r="R7" s="571"/>
      <c r="S7" s="1908"/>
    </row>
    <row r="8" spans="1:23" ht="16.5">
      <c r="B8" s="2848" t="s">
        <v>836</v>
      </c>
      <c r="C8" s="2849"/>
      <c r="D8" s="2849"/>
      <c r="E8" s="2849"/>
      <c r="F8" s="2849"/>
      <c r="G8" s="2849"/>
      <c r="H8" s="2849"/>
      <c r="I8" s="2849"/>
      <c r="J8" s="2849"/>
      <c r="K8" s="2850"/>
      <c r="L8" s="679"/>
      <c r="M8" s="679"/>
      <c r="N8" s="2869" t="s">
        <v>960</v>
      </c>
      <c r="O8" s="2869"/>
      <c r="P8" s="2869"/>
      <c r="Q8" s="2869"/>
      <c r="R8" s="2869"/>
      <c r="S8" s="2869"/>
      <c r="T8" s="2869"/>
      <c r="U8" s="2869"/>
      <c r="V8" s="2869"/>
      <c r="W8" s="2869"/>
    </row>
    <row r="9" spans="1:23" ht="16.5">
      <c r="B9" s="613" t="s">
        <v>7</v>
      </c>
      <c r="C9" s="614"/>
      <c r="D9" s="615"/>
      <c r="E9" s="640" t="s">
        <v>837</v>
      </c>
      <c r="F9" s="2870" t="s">
        <v>838</v>
      </c>
      <c r="G9" s="2871"/>
      <c r="H9" s="2848" t="s">
        <v>839</v>
      </c>
      <c r="I9" s="2850"/>
      <c r="J9" s="616" t="s">
        <v>840</v>
      </c>
      <c r="K9" s="616" t="s">
        <v>8</v>
      </c>
      <c r="L9" s="679"/>
      <c r="M9" s="679"/>
      <c r="N9" s="695" t="s">
        <v>954</v>
      </c>
      <c r="O9" s="695" t="s">
        <v>82</v>
      </c>
      <c r="P9" s="705" t="s">
        <v>7</v>
      </c>
      <c r="Q9" s="705" t="s">
        <v>837</v>
      </c>
      <c r="R9" s="705" t="s">
        <v>838</v>
      </c>
      <c r="S9" s="705" t="s">
        <v>839</v>
      </c>
      <c r="T9" s="705" t="s">
        <v>840</v>
      </c>
      <c r="U9" s="705" t="s">
        <v>8</v>
      </c>
      <c r="V9" s="705" t="s">
        <v>958</v>
      </c>
      <c r="W9" s="705" t="s">
        <v>959</v>
      </c>
    </row>
    <row r="10" spans="1:23" ht="16.5">
      <c r="B10" s="571"/>
      <c r="C10" s="578"/>
      <c r="D10" s="579"/>
      <c r="E10" s="580"/>
      <c r="F10" s="1912"/>
      <c r="G10" s="1913"/>
      <c r="H10" s="1912"/>
      <c r="I10" s="582"/>
      <c r="J10" s="580"/>
      <c r="K10" s="580"/>
      <c r="L10" s="679"/>
      <c r="M10" s="679"/>
      <c r="N10" s="679"/>
      <c r="O10" s="679"/>
      <c r="R10" s="702"/>
      <c r="S10" s="702"/>
    </row>
    <row r="11" spans="1:23" ht="66.5" customHeight="1">
      <c r="A11" s="706" t="s">
        <v>932</v>
      </c>
      <c r="B11" s="671" t="s">
        <v>841</v>
      </c>
      <c r="C11" s="610" t="s">
        <v>82</v>
      </c>
      <c r="D11" s="611" t="s">
        <v>842</v>
      </c>
      <c r="E11" s="612" t="s">
        <v>843</v>
      </c>
      <c r="F11" s="1914" t="s">
        <v>846</v>
      </c>
      <c r="G11" s="1914" t="s">
        <v>846</v>
      </c>
      <c r="H11" s="1914" t="s">
        <v>2143</v>
      </c>
      <c r="I11" s="612" t="s">
        <v>847</v>
      </c>
      <c r="J11" s="612" t="s">
        <v>848</v>
      </c>
      <c r="K11" s="1953" t="s">
        <v>849</v>
      </c>
      <c r="L11" s="1954" t="s">
        <v>2209</v>
      </c>
      <c r="M11" s="1915" t="s">
        <v>932</v>
      </c>
      <c r="N11" s="1947" t="s">
        <v>954</v>
      </c>
      <c r="O11" s="1948" t="s">
        <v>82</v>
      </c>
      <c r="P11" s="1949" t="s">
        <v>842</v>
      </c>
      <c r="Q11" s="1950" t="s">
        <v>843</v>
      </c>
      <c r="R11" s="1950" t="s">
        <v>947</v>
      </c>
      <c r="S11" s="1950" t="s">
        <v>846</v>
      </c>
      <c r="T11" s="1947" t="s">
        <v>2207</v>
      </c>
      <c r="U11" s="1951" t="s">
        <v>2208</v>
      </c>
      <c r="V11" s="1947" t="s">
        <v>955</v>
      </c>
      <c r="W11" s="1947" t="s">
        <v>2210</v>
      </c>
    </row>
    <row r="12" spans="1:23" ht="20" hidden="1" customHeight="1">
      <c r="A12" s="706">
        <f t="shared" ref="A12:A43" si="0">M12</f>
        <v>1</v>
      </c>
      <c r="B12" s="1955" t="str">
        <f t="shared" ref="B12:B43" si="1">N12</f>
        <v xml:space="preserve">2A1  </v>
      </c>
      <c r="C12" s="1955" t="str">
        <f t="shared" ref="C12:C43" si="2">O12</f>
        <v>IPPU</v>
      </c>
      <c r="D12" s="1955" t="str">
        <f t="shared" ref="D12:D43" si="3">P12</f>
        <v>Producción de Cemento</v>
      </c>
      <c r="E12" s="1955" t="str">
        <f t="shared" ref="E12:E43" si="4">Q12</f>
        <v>CO2</v>
      </c>
      <c r="F12" s="1918">
        <f t="shared" ref="F12:F43" si="5">S12</f>
        <v>0</v>
      </c>
      <c r="G12" s="1918">
        <f t="shared" ref="G12:G43" si="6">S12</f>
        <v>0</v>
      </c>
      <c r="H12" s="1918">
        <f t="shared" ref="H12:H43" si="7">ABS(F12)</f>
        <v>0</v>
      </c>
      <c r="I12" s="1917"/>
      <c r="J12" s="1919">
        <f t="shared" ref="J12:J43" si="8">IFERROR(H12/$H$93,"faltan datos")</f>
        <v>0</v>
      </c>
      <c r="K12" s="1920" t="e">
        <f t="shared" ref="K12:K18" si="9">K11+J12</f>
        <v>#VALUE!</v>
      </c>
      <c r="L12" s="1921"/>
      <c r="M12" s="1915">
        <v>1</v>
      </c>
      <c r="N12" s="1922" t="s">
        <v>2163</v>
      </c>
      <c r="O12" s="610" t="s">
        <v>2028</v>
      </c>
      <c r="P12" s="1923" t="s">
        <v>2164</v>
      </c>
      <c r="Q12" s="1924" t="s">
        <v>83</v>
      </c>
      <c r="R12" s="1918"/>
      <c r="S12" s="1918"/>
      <c r="T12" s="1945">
        <f t="shared" ref="T12:T43" si="10">ABS((S12-R12)/(S$93-R$93))</f>
        <v>0</v>
      </c>
      <c r="U12" s="1946">
        <f t="shared" ref="U12:U43" si="11">T12/T$93</f>
        <v>0</v>
      </c>
      <c r="V12" s="1957">
        <v>0</v>
      </c>
      <c r="W12" s="1956">
        <f t="shared" ref="W12:W54" si="12">RANK(V12,V$12:V$90)</f>
        <v>37</v>
      </c>
    </row>
    <row r="13" spans="1:23" ht="15.5" hidden="1" customHeight="1">
      <c r="A13" s="706">
        <f t="shared" si="0"/>
        <v>2</v>
      </c>
      <c r="B13" s="1955" t="str">
        <f t="shared" si="1"/>
        <v>2A2</v>
      </c>
      <c r="C13" s="1955" t="str">
        <f t="shared" si="2"/>
        <v>IPPU</v>
      </c>
      <c r="D13" s="1955" t="str">
        <f t="shared" si="3"/>
        <v xml:space="preserve">Producción de Cal </v>
      </c>
      <c r="E13" s="1955" t="str">
        <f t="shared" si="4"/>
        <v>CO2</v>
      </c>
      <c r="F13" s="1918">
        <f t="shared" si="5"/>
        <v>0</v>
      </c>
      <c r="G13" s="1918">
        <f t="shared" si="6"/>
        <v>0</v>
      </c>
      <c r="H13" s="1918">
        <f t="shared" si="7"/>
        <v>0</v>
      </c>
      <c r="I13" s="1917"/>
      <c r="J13" s="1919">
        <f t="shared" si="8"/>
        <v>0</v>
      </c>
      <c r="K13" s="1920" t="e">
        <f t="shared" si="9"/>
        <v>#VALUE!</v>
      </c>
      <c r="L13" s="1921"/>
      <c r="M13" s="1915">
        <v>2</v>
      </c>
      <c r="N13" s="1922" t="s">
        <v>2180</v>
      </c>
      <c r="O13" s="610" t="s">
        <v>2028</v>
      </c>
      <c r="P13" s="1923" t="s">
        <v>2181</v>
      </c>
      <c r="Q13" s="1924" t="s">
        <v>83</v>
      </c>
      <c r="R13" s="1918"/>
      <c r="S13" s="1918"/>
      <c r="T13" s="1945">
        <f t="shared" si="10"/>
        <v>0</v>
      </c>
      <c r="U13" s="1946">
        <f t="shared" si="11"/>
        <v>0</v>
      </c>
      <c r="V13" s="1957">
        <f t="shared" ref="V13:V44" si="13">U13+V12</f>
        <v>0</v>
      </c>
      <c r="W13" s="1956">
        <f t="shared" si="12"/>
        <v>37</v>
      </c>
    </row>
    <row r="14" spans="1:23" ht="14.5" hidden="1" customHeight="1">
      <c r="A14" s="706">
        <f t="shared" si="0"/>
        <v>3</v>
      </c>
      <c r="B14" s="1955" t="str">
        <f t="shared" si="1"/>
        <v xml:space="preserve">2A3  </v>
      </c>
      <c r="C14" s="1955" t="str">
        <f t="shared" si="2"/>
        <v>IPPU</v>
      </c>
      <c r="D14" s="1955" t="str">
        <f t="shared" si="3"/>
        <v xml:space="preserve">Producción de Vidrio </v>
      </c>
      <c r="E14" s="1955" t="str">
        <f t="shared" si="4"/>
        <v>CO2</v>
      </c>
      <c r="F14" s="1918">
        <f t="shared" si="5"/>
        <v>0</v>
      </c>
      <c r="G14" s="1918">
        <f t="shared" si="6"/>
        <v>0</v>
      </c>
      <c r="H14" s="1918">
        <f t="shared" si="7"/>
        <v>0</v>
      </c>
      <c r="I14" s="1917"/>
      <c r="J14" s="1919">
        <f t="shared" si="8"/>
        <v>0</v>
      </c>
      <c r="K14" s="1920" t="e">
        <f t="shared" si="9"/>
        <v>#VALUE!</v>
      </c>
      <c r="L14" s="1921"/>
      <c r="M14" s="1915">
        <v>3</v>
      </c>
      <c r="N14" s="1922" t="s">
        <v>2184</v>
      </c>
      <c r="O14" s="610" t="s">
        <v>2028</v>
      </c>
      <c r="P14" s="1923" t="s">
        <v>2185</v>
      </c>
      <c r="Q14" s="1924" t="s">
        <v>83</v>
      </c>
      <c r="R14" s="1918"/>
      <c r="S14" s="1918"/>
      <c r="T14" s="1945">
        <f t="shared" si="10"/>
        <v>0</v>
      </c>
      <c r="U14" s="1946">
        <f t="shared" si="11"/>
        <v>0</v>
      </c>
      <c r="V14" s="1957">
        <f t="shared" si="13"/>
        <v>0</v>
      </c>
      <c r="W14" s="1956">
        <f t="shared" si="12"/>
        <v>37</v>
      </c>
    </row>
    <row r="15" spans="1:23" ht="14.5" hidden="1" customHeight="1">
      <c r="A15" s="706">
        <f t="shared" si="0"/>
        <v>4</v>
      </c>
      <c r="B15" s="1955" t="str">
        <f t="shared" si="1"/>
        <v xml:space="preserve">2A4  </v>
      </c>
      <c r="C15" s="1955" t="str">
        <f t="shared" si="2"/>
        <v>IPPU</v>
      </c>
      <c r="D15" s="1955" t="str">
        <f t="shared" si="3"/>
        <v>Otros usos de los carbonatos en los procesos</v>
      </c>
      <c r="E15" s="1955" t="str">
        <f t="shared" si="4"/>
        <v>CO2</v>
      </c>
      <c r="F15" s="1918">
        <f t="shared" si="5"/>
        <v>0</v>
      </c>
      <c r="G15" s="1918">
        <f t="shared" si="6"/>
        <v>0</v>
      </c>
      <c r="H15" s="1918">
        <f t="shared" si="7"/>
        <v>0</v>
      </c>
      <c r="I15" s="1917"/>
      <c r="J15" s="1919">
        <f t="shared" si="8"/>
        <v>0</v>
      </c>
      <c r="K15" s="1920" t="e">
        <f t="shared" si="9"/>
        <v>#VALUE!</v>
      </c>
      <c r="L15" s="1921"/>
      <c r="M15" s="1915">
        <v>4</v>
      </c>
      <c r="N15" s="1922" t="s">
        <v>2170</v>
      </c>
      <c r="O15" s="610" t="s">
        <v>2028</v>
      </c>
      <c r="P15" s="1923" t="s">
        <v>2171</v>
      </c>
      <c r="Q15" s="1924" t="s">
        <v>83</v>
      </c>
      <c r="R15" s="1918"/>
      <c r="S15" s="1918"/>
      <c r="T15" s="1945">
        <f t="shared" si="10"/>
        <v>0</v>
      </c>
      <c r="U15" s="1946">
        <f t="shared" si="11"/>
        <v>0</v>
      </c>
      <c r="V15" s="1957">
        <f t="shared" si="13"/>
        <v>0</v>
      </c>
      <c r="W15" s="1956">
        <f t="shared" si="12"/>
        <v>37</v>
      </c>
    </row>
    <row r="16" spans="1:23" ht="14.5" hidden="1" customHeight="1">
      <c r="A16" s="706">
        <f t="shared" si="0"/>
        <v>5</v>
      </c>
      <c r="B16" s="1955" t="str">
        <f t="shared" si="1"/>
        <v xml:space="preserve">2C1  </v>
      </c>
      <c r="C16" s="1955" t="str">
        <f t="shared" si="2"/>
        <v>IPPU</v>
      </c>
      <c r="D16" s="1955" t="str">
        <f t="shared" si="3"/>
        <v>Producción de Hierro y Acero</v>
      </c>
      <c r="E16" s="1955" t="str">
        <f t="shared" si="4"/>
        <v>CO2</v>
      </c>
      <c r="F16" s="1918">
        <f t="shared" si="5"/>
        <v>0</v>
      </c>
      <c r="G16" s="1918">
        <f t="shared" si="6"/>
        <v>0</v>
      </c>
      <c r="H16" s="1918">
        <f t="shared" si="7"/>
        <v>0</v>
      </c>
      <c r="I16" s="1917"/>
      <c r="J16" s="1919">
        <f t="shared" si="8"/>
        <v>0</v>
      </c>
      <c r="K16" s="1920" t="e">
        <f t="shared" si="9"/>
        <v>#VALUE!</v>
      </c>
      <c r="L16" s="1921"/>
      <c r="M16" s="1915">
        <v>5</v>
      </c>
      <c r="N16" s="1922" t="s">
        <v>2182</v>
      </c>
      <c r="O16" s="610" t="s">
        <v>2028</v>
      </c>
      <c r="P16" s="1923" t="s">
        <v>2183</v>
      </c>
      <c r="Q16" s="1924" t="s">
        <v>83</v>
      </c>
      <c r="R16" s="1918"/>
      <c r="S16" s="1918"/>
      <c r="T16" s="1945">
        <f t="shared" si="10"/>
        <v>0</v>
      </c>
      <c r="U16" s="1946">
        <f t="shared" si="11"/>
        <v>0</v>
      </c>
      <c r="V16" s="1957">
        <f t="shared" si="13"/>
        <v>0</v>
      </c>
      <c r="W16" s="1956">
        <f t="shared" si="12"/>
        <v>37</v>
      </c>
    </row>
    <row r="17" spans="1:23" ht="14.5" hidden="1" customHeight="1">
      <c r="A17" s="706">
        <f t="shared" si="0"/>
        <v>6</v>
      </c>
      <c r="B17" s="1955" t="str">
        <f t="shared" si="1"/>
        <v xml:space="preserve">2C1  </v>
      </c>
      <c r="C17" s="1955" t="str">
        <f t="shared" si="2"/>
        <v>IPPU</v>
      </c>
      <c r="D17" s="1955" t="str">
        <f t="shared" si="3"/>
        <v xml:space="preserve">Producción de Plomo </v>
      </c>
      <c r="E17" s="1955" t="str">
        <f t="shared" si="4"/>
        <v>CO2</v>
      </c>
      <c r="F17" s="1918">
        <f t="shared" si="5"/>
        <v>0</v>
      </c>
      <c r="G17" s="1918">
        <f t="shared" si="6"/>
        <v>0</v>
      </c>
      <c r="H17" s="1918">
        <f t="shared" si="7"/>
        <v>0</v>
      </c>
      <c r="I17" s="1917"/>
      <c r="J17" s="1919">
        <f t="shared" si="8"/>
        <v>0</v>
      </c>
      <c r="K17" s="1920" t="e">
        <f t="shared" si="9"/>
        <v>#VALUE!</v>
      </c>
      <c r="L17" s="1921"/>
      <c r="M17" s="1915">
        <v>6</v>
      </c>
      <c r="N17" s="1922" t="s">
        <v>2182</v>
      </c>
      <c r="O17" s="610" t="s">
        <v>2028</v>
      </c>
      <c r="P17" s="1923" t="s">
        <v>2195</v>
      </c>
      <c r="Q17" s="1924" t="s">
        <v>83</v>
      </c>
      <c r="R17" s="1918"/>
      <c r="S17" s="1918"/>
      <c r="T17" s="1945">
        <f t="shared" si="10"/>
        <v>0</v>
      </c>
      <c r="U17" s="1946">
        <f t="shared" si="11"/>
        <v>0</v>
      </c>
      <c r="V17" s="1957">
        <f t="shared" si="13"/>
        <v>0</v>
      </c>
      <c r="W17" s="1956">
        <f t="shared" si="12"/>
        <v>37</v>
      </c>
    </row>
    <row r="18" spans="1:23" ht="14.5" hidden="1" customHeight="1">
      <c r="A18" s="706">
        <f t="shared" si="0"/>
        <v>7</v>
      </c>
      <c r="B18" s="1955" t="str">
        <f t="shared" si="1"/>
        <v>2D2</v>
      </c>
      <c r="C18" s="1955" t="str">
        <f t="shared" si="2"/>
        <v>IPPU</v>
      </c>
      <c r="D18" s="1955" t="str">
        <f t="shared" si="3"/>
        <v>Uso de Cera Parafina</v>
      </c>
      <c r="E18" s="1955" t="str">
        <f t="shared" si="4"/>
        <v>CO2</v>
      </c>
      <c r="F18" s="1918">
        <f t="shared" si="5"/>
        <v>0</v>
      </c>
      <c r="G18" s="1918">
        <f t="shared" si="6"/>
        <v>0</v>
      </c>
      <c r="H18" s="1918">
        <f t="shared" si="7"/>
        <v>0</v>
      </c>
      <c r="I18" s="1917"/>
      <c r="J18" s="1919">
        <f t="shared" si="8"/>
        <v>0</v>
      </c>
      <c r="K18" s="1920" t="e">
        <f t="shared" si="9"/>
        <v>#VALUE!</v>
      </c>
      <c r="L18" s="1921"/>
      <c r="M18" s="1915">
        <v>7</v>
      </c>
      <c r="N18" s="1922" t="s">
        <v>2193</v>
      </c>
      <c r="O18" s="610" t="s">
        <v>2028</v>
      </c>
      <c r="P18" s="1923" t="s">
        <v>2194</v>
      </c>
      <c r="Q18" s="1924" t="s">
        <v>83</v>
      </c>
      <c r="R18" s="1918"/>
      <c r="S18" s="1918"/>
      <c r="T18" s="1945">
        <f t="shared" si="10"/>
        <v>0</v>
      </c>
      <c r="U18" s="1946">
        <f t="shared" si="11"/>
        <v>0</v>
      </c>
      <c r="V18" s="1957">
        <f t="shared" si="13"/>
        <v>0</v>
      </c>
      <c r="W18" s="1956">
        <f t="shared" si="12"/>
        <v>37</v>
      </c>
    </row>
    <row r="19" spans="1:23" ht="14.5" hidden="1" customHeight="1">
      <c r="A19" s="706">
        <f t="shared" si="0"/>
        <v>8</v>
      </c>
      <c r="B19" s="1955" t="str">
        <f t="shared" si="1"/>
        <v>3.B.1.a</v>
      </c>
      <c r="C19" s="1955" t="str">
        <f t="shared" si="2"/>
        <v>UTCUTS</v>
      </c>
      <c r="D19" s="1955" t="str">
        <f t="shared" si="3"/>
        <v>Tierras forestales que permanecen como tales (Incremento anual de biomasa)</v>
      </c>
      <c r="E19" s="1955" t="str">
        <f t="shared" si="4"/>
        <v>CO2</v>
      </c>
      <c r="F19" s="1918">
        <f t="shared" si="5"/>
        <v>0</v>
      </c>
      <c r="G19" s="1918">
        <f t="shared" si="6"/>
        <v>0</v>
      </c>
      <c r="H19" s="1918">
        <f t="shared" si="7"/>
        <v>0</v>
      </c>
      <c r="I19" s="1917"/>
      <c r="J19" s="1919">
        <f t="shared" si="8"/>
        <v>0</v>
      </c>
      <c r="K19" s="1920">
        <f>J19</f>
        <v>0</v>
      </c>
      <c r="L19" s="1921"/>
      <c r="M19" s="1915">
        <v>8</v>
      </c>
      <c r="N19" s="1922" t="s">
        <v>2086</v>
      </c>
      <c r="O19" s="610" t="s">
        <v>2144</v>
      </c>
      <c r="P19" s="1923" t="s">
        <v>2146</v>
      </c>
      <c r="Q19" s="1924" t="s">
        <v>83</v>
      </c>
      <c r="R19" s="1918"/>
      <c r="S19" s="1918"/>
      <c r="T19" s="1945">
        <f t="shared" si="10"/>
        <v>0</v>
      </c>
      <c r="U19" s="1946">
        <f t="shared" si="11"/>
        <v>0</v>
      </c>
      <c r="V19" s="1957">
        <f t="shared" si="13"/>
        <v>0</v>
      </c>
      <c r="W19" s="1956">
        <f t="shared" si="12"/>
        <v>37</v>
      </c>
    </row>
    <row r="20" spans="1:23" ht="14.5" hidden="1" customHeight="1">
      <c r="A20" s="706">
        <f t="shared" si="0"/>
        <v>9</v>
      </c>
      <c r="B20" s="1955" t="str">
        <f t="shared" si="1"/>
        <v>3.B.2.b</v>
      </c>
      <c r="C20" s="1955" t="str">
        <f t="shared" si="2"/>
        <v>UTCUTS</v>
      </c>
      <c r="D20" s="1955" t="str">
        <f t="shared" si="3"/>
        <v>Tierras convertidas en tierras de cultivo</v>
      </c>
      <c r="E20" s="1955" t="str">
        <f t="shared" si="4"/>
        <v>CO2</v>
      </c>
      <c r="F20" s="1918">
        <f t="shared" si="5"/>
        <v>0</v>
      </c>
      <c r="G20" s="1918">
        <f t="shared" si="6"/>
        <v>0</v>
      </c>
      <c r="H20" s="1918">
        <f t="shared" si="7"/>
        <v>0</v>
      </c>
      <c r="I20" s="1917"/>
      <c r="J20" s="1919">
        <f t="shared" si="8"/>
        <v>0</v>
      </c>
      <c r="K20" s="1920">
        <f t="shared" ref="K20:K54" si="14">K19+J20</f>
        <v>0</v>
      </c>
      <c r="L20" s="1921"/>
      <c r="M20" s="1915">
        <v>9</v>
      </c>
      <c r="N20" s="1922" t="s">
        <v>2092</v>
      </c>
      <c r="O20" s="610" t="s">
        <v>2144</v>
      </c>
      <c r="P20" s="1923" t="s">
        <v>2145</v>
      </c>
      <c r="Q20" s="1924" t="s">
        <v>83</v>
      </c>
      <c r="R20" s="1918"/>
      <c r="S20" s="1918"/>
      <c r="T20" s="1945">
        <f t="shared" si="10"/>
        <v>0</v>
      </c>
      <c r="U20" s="1946">
        <f t="shared" si="11"/>
        <v>0</v>
      </c>
      <c r="V20" s="1957">
        <f t="shared" si="13"/>
        <v>0</v>
      </c>
      <c r="W20" s="1956">
        <f t="shared" si="12"/>
        <v>37</v>
      </c>
    </row>
    <row r="21" spans="1:23" ht="14.5" hidden="1" customHeight="1">
      <c r="A21" s="706">
        <f t="shared" si="0"/>
        <v>10</v>
      </c>
      <c r="B21" s="1955" t="str">
        <f t="shared" si="1"/>
        <v>3.B.1.a</v>
      </c>
      <c r="C21" s="1955" t="str">
        <f t="shared" si="2"/>
        <v>UTCUTS</v>
      </c>
      <c r="D21" s="1955" t="str">
        <f t="shared" si="3"/>
        <v>Extracción de leña</v>
      </c>
      <c r="E21" s="1955" t="str">
        <f t="shared" si="4"/>
        <v>CO2</v>
      </c>
      <c r="F21" s="1918">
        <f t="shared" si="5"/>
        <v>0</v>
      </c>
      <c r="G21" s="1918">
        <f t="shared" si="6"/>
        <v>0</v>
      </c>
      <c r="H21" s="1918">
        <f t="shared" si="7"/>
        <v>0</v>
      </c>
      <c r="I21" s="1917"/>
      <c r="J21" s="1919">
        <f t="shared" si="8"/>
        <v>0</v>
      </c>
      <c r="K21" s="1920">
        <f t="shared" si="14"/>
        <v>0</v>
      </c>
      <c r="L21" s="1921"/>
      <c r="M21" s="1915">
        <v>10</v>
      </c>
      <c r="N21" s="1922" t="s">
        <v>2086</v>
      </c>
      <c r="O21" s="610" t="s">
        <v>2144</v>
      </c>
      <c r="P21" s="1923" t="s">
        <v>2155</v>
      </c>
      <c r="Q21" s="1924" t="s">
        <v>83</v>
      </c>
      <c r="R21" s="1918"/>
      <c r="S21" s="1918"/>
      <c r="T21" s="1945">
        <f t="shared" si="10"/>
        <v>0</v>
      </c>
      <c r="U21" s="1946">
        <f t="shared" si="11"/>
        <v>0</v>
      </c>
      <c r="V21" s="1957">
        <f t="shared" si="13"/>
        <v>0</v>
      </c>
      <c r="W21" s="1956">
        <f t="shared" si="12"/>
        <v>37</v>
      </c>
    </row>
    <row r="22" spans="1:23" ht="14.5" hidden="1" customHeight="1">
      <c r="A22" s="706">
        <f t="shared" si="0"/>
        <v>11</v>
      </c>
      <c r="B22" s="1955" t="str">
        <f t="shared" si="1"/>
        <v>3.B.3.b</v>
      </c>
      <c r="C22" s="1955" t="str">
        <f t="shared" si="2"/>
        <v>UTCUTS</v>
      </c>
      <c r="D22" s="1955" t="str">
        <f t="shared" si="3"/>
        <v>Tierras convertidas en tierras pastizales</v>
      </c>
      <c r="E22" s="1955" t="str">
        <f t="shared" si="4"/>
        <v>CO2</v>
      </c>
      <c r="F22" s="1918">
        <f t="shared" si="5"/>
        <v>0</v>
      </c>
      <c r="G22" s="1918">
        <f t="shared" si="6"/>
        <v>0</v>
      </c>
      <c r="H22" s="1918">
        <f t="shared" si="7"/>
        <v>0</v>
      </c>
      <c r="I22" s="1917"/>
      <c r="J22" s="1919">
        <f t="shared" si="8"/>
        <v>0</v>
      </c>
      <c r="K22" s="1920">
        <f t="shared" si="14"/>
        <v>0</v>
      </c>
      <c r="L22" s="1921"/>
      <c r="M22" s="1915">
        <v>11</v>
      </c>
      <c r="N22" s="1922" t="s">
        <v>2096</v>
      </c>
      <c r="O22" s="610" t="s">
        <v>2144</v>
      </c>
      <c r="P22" s="1923" t="s">
        <v>2162</v>
      </c>
      <c r="Q22" s="1924" t="s">
        <v>83</v>
      </c>
      <c r="R22" s="1918"/>
      <c r="S22" s="1918"/>
      <c r="T22" s="1945">
        <f t="shared" si="10"/>
        <v>0</v>
      </c>
      <c r="U22" s="1946">
        <f t="shared" si="11"/>
        <v>0</v>
      </c>
      <c r="V22" s="1957">
        <f t="shared" si="13"/>
        <v>0</v>
      </c>
      <c r="W22" s="1956">
        <f t="shared" si="12"/>
        <v>37</v>
      </c>
    </row>
    <row r="23" spans="1:23" ht="14.5" hidden="1" customHeight="1">
      <c r="A23" s="706">
        <f t="shared" si="0"/>
        <v>12</v>
      </c>
      <c r="B23" s="1955" t="str">
        <f t="shared" si="1"/>
        <v>3.B.1.a</v>
      </c>
      <c r="C23" s="1955" t="str">
        <f t="shared" si="2"/>
        <v>UTCUTS</v>
      </c>
      <c r="D23" s="1955" t="str">
        <f t="shared" si="3"/>
        <v>Extracción de madera</v>
      </c>
      <c r="E23" s="1955" t="str">
        <f t="shared" si="4"/>
        <v>CO2</v>
      </c>
      <c r="F23" s="1918">
        <f t="shared" si="5"/>
        <v>0</v>
      </c>
      <c r="G23" s="1918">
        <f t="shared" si="6"/>
        <v>0</v>
      </c>
      <c r="H23" s="1918">
        <f t="shared" si="7"/>
        <v>0</v>
      </c>
      <c r="I23" s="1917"/>
      <c r="J23" s="1919">
        <f t="shared" si="8"/>
        <v>0</v>
      </c>
      <c r="K23" s="1920">
        <f t="shared" si="14"/>
        <v>0</v>
      </c>
      <c r="L23" s="1921"/>
      <c r="M23" s="1915">
        <v>12</v>
      </c>
      <c r="N23" s="1922" t="s">
        <v>2086</v>
      </c>
      <c r="O23" s="610" t="s">
        <v>2144</v>
      </c>
      <c r="P23" s="1923" t="s">
        <v>2150</v>
      </c>
      <c r="Q23" s="1924" t="s">
        <v>83</v>
      </c>
      <c r="R23" s="1918"/>
      <c r="S23" s="1918"/>
      <c r="T23" s="1945">
        <f t="shared" si="10"/>
        <v>0</v>
      </c>
      <c r="U23" s="1946">
        <f t="shared" si="11"/>
        <v>0</v>
      </c>
      <c r="V23" s="1957">
        <f t="shared" si="13"/>
        <v>0</v>
      </c>
      <c r="W23" s="1956">
        <f t="shared" si="12"/>
        <v>37</v>
      </c>
    </row>
    <row r="24" spans="1:23" ht="14.5" hidden="1" customHeight="1">
      <c r="A24" s="706">
        <f t="shared" si="0"/>
        <v>13</v>
      </c>
      <c r="B24" s="1955" t="str">
        <f t="shared" si="1"/>
        <v>3.B.4.b</v>
      </c>
      <c r="C24" s="1955" t="str">
        <f t="shared" si="2"/>
        <v>UTCUTS</v>
      </c>
      <c r="D24" s="1955" t="str">
        <f t="shared" si="3"/>
        <v>Tierras convertidas en humedales</v>
      </c>
      <c r="E24" s="1955" t="str">
        <f t="shared" si="4"/>
        <v>CO2</v>
      </c>
      <c r="F24" s="1918">
        <f t="shared" si="5"/>
        <v>0</v>
      </c>
      <c r="G24" s="1918">
        <f t="shared" si="6"/>
        <v>0</v>
      </c>
      <c r="H24" s="1918">
        <f t="shared" si="7"/>
        <v>0</v>
      </c>
      <c r="I24" s="1917"/>
      <c r="J24" s="1919">
        <f t="shared" si="8"/>
        <v>0</v>
      </c>
      <c r="K24" s="1920">
        <f t="shared" si="14"/>
        <v>0</v>
      </c>
      <c r="L24" s="1921"/>
      <c r="M24" s="1915">
        <v>13</v>
      </c>
      <c r="N24" s="1922" t="s">
        <v>2100</v>
      </c>
      <c r="O24" s="610" t="s">
        <v>2144</v>
      </c>
      <c r="P24" s="1923" t="s">
        <v>2172</v>
      </c>
      <c r="Q24" s="1924" t="s">
        <v>83</v>
      </c>
      <c r="R24" s="1918"/>
      <c r="S24" s="1918"/>
      <c r="T24" s="1945">
        <f t="shared" si="10"/>
        <v>0</v>
      </c>
      <c r="U24" s="1946">
        <f t="shared" si="11"/>
        <v>0</v>
      </c>
      <c r="V24" s="1957">
        <f t="shared" si="13"/>
        <v>0</v>
      </c>
      <c r="W24" s="1956">
        <f t="shared" si="12"/>
        <v>37</v>
      </c>
    </row>
    <row r="25" spans="1:23" ht="14.5" hidden="1" customHeight="1">
      <c r="A25" s="706">
        <f t="shared" si="0"/>
        <v>14</v>
      </c>
      <c r="B25" s="1955" t="str">
        <f t="shared" si="1"/>
        <v>3.B.6.b</v>
      </c>
      <c r="C25" s="1955" t="str">
        <f t="shared" si="2"/>
        <v>UTCUTS</v>
      </c>
      <c r="D25" s="1955" t="str">
        <f t="shared" si="3"/>
        <v>Tierras convertidas en otras tierras</v>
      </c>
      <c r="E25" s="1955" t="str">
        <f t="shared" si="4"/>
        <v>CO2</v>
      </c>
      <c r="F25" s="1918">
        <f t="shared" si="5"/>
        <v>0</v>
      </c>
      <c r="G25" s="1918">
        <f t="shared" si="6"/>
        <v>0</v>
      </c>
      <c r="H25" s="1918">
        <f t="shared" si="7"/>
        <v>0</v>
      </c>
      <c r="I25" s="1917"/>
      <c r="J25" s="1919">
        <f t="shared" si="8"/>
        <v>0</v>
      </c>
      <c r="K25" s="1920">
        <f t="shared" si="14"/>
        <v>0</v>
      </c>
      <c r="L25" s="1921"/>
      <c r="M25" s="1915">
        <v>14</v>
      </c>
      <c r="N25" s="1922" t="s">
        <v>2174</v>
      </c>
      <c r="O25" s="610" t="s">
        <v>2144</v>
      </c>
      <c r="P25" s="1923" t="s">
        <v>2175</v>
      </c>
      <c r="Q25" s="1924" t="s">
        <v>83</v>
      </c>
      <c r="R25" s="1918"/>
      <c r="S25" s="1918"/>
      <c r="T25" s="1945">
        <f t="shared" si="10"/>
        <v>0</v>
      </c>
      <c r="U25" s="1946">
        <f t="shared" si="11"/>
        <v>0</v>
      </c>
      <c r="V25" s="1957">
        <f t="shared" si="13"/>
        <v>0</v>
      </c>
      <c r="W25" s="1956">
        <f t="shared" si="12"/>
        <v>37</v>
      </c>
    </row>
    <row r="26" spans="1:23" ht="14.5" hidden="1" customHeight="1">
      <c r="A26" s="706">
        <f t="shared" si="0"/>
        <v>15</v>
      </c>
      <c r="B26" s="1955" t="str">
        <f t="shared" si="1"/>
        <v>3.B.1.b</v>
      </c>
      <c r="C26" s="1955" t="str">
        <f t="shared" si="2"/>
        <v>UTCUTS</v>
      </c>
      <c r="D26" s="1955" t="str">
        <f t="shared" si="3"/>
        <v>Tierras convertidas en tierras forestales</v>
      </c>
      <c r="E26" s="1955" t="str">
        <f t="shared" si="4"/>
        <v>CO2</v>
      </c>
      <c r="F26" s="1918">
        <f t="shared" si="5"/>
        <v>0</v>
      </c>
      <c r="G26" s="1918">
        <f t="shared" si="6"/>
        <v>0</v>
      </c>
      <c r="H26" s="1918">
        <f t="shared" si="7"/>
        <v>0</v>
      </c>
      <c r="I26" s="1917"/>
      <c r="J26" s="1919">
        <f t="shared" si="8"/>
        <v>0</v>
      </c>
      <c r="K26" s="1920">
        <f t="shared" si="14"/>
        <v>0</v>
      </c>
      <c r="L26" s="1921"/>
      <c r="M26" s="1915">
        <v>15</v>
      </c>
      <c r="N26" s="1922" t="s">
        <v>2088</v>
      </c>
      <c r="O26" s="610" t="s">
        <v>2144</v>
      </c>
      <c r="P26" s="1923" t="s">
        <v>2173</v>
      </c>
      <c r="Q26" s="1924" t="s">
        <v>83</v>
      </c>
      <c r="R26" s="1918"/>
      <c r="S26" s="1918"/>
      <c r="T26" s="1945">
        <f t="shared" si="10"/>
        <v>0</v>
      </c>
      <c r="U26" s="1946">
        <f t="shared" si="11"/>
        <v>0</v>
      </c>
      <c r="V26" s="1957">
        <f t="shared" si="13"/>
        <v>0</v>
      </c>
      <c r="W26" s="1956">
        <f t="shared" si="12"/>
        <v>37</v>
      </c>
    </row>
    <row r="27" spans="1:23" ht="14.5" hidden="1" customHeight="1">
      <c r="A27" s="706">
        <f t="shared" si="0"/>
        <v>16</v>
      </c>
      <c r="B27" s="1955" t="str">
        <f t="shared" si="1"/>
        <v>3.B.5.b</v>
      </c>
      <c r="C27" s="1955" t="str">
        <f t="shared" si="2"/>
        <v>UTCUTS</v>
      </c>
      <c r="D27" s="1955" t="str">
        <f t="shared" si="3"/>
        <v>Tierras convertidas en asentamientos</v>
      </c>
      <c r="E27" s="1955" t="str">
        <f t="shared" si="4"/>
        <v>CO2</v>
      </c>
      <c r="F27" s="1918">
        <f t="shared" si="5"/>
        <v>0</v>
      </c>
      <c r="G27" s="1918">
        <f t="shared" si="6"/>
        <v>0</v>
      </c>
      <c r="H27" s="1918">
        <f t="shared" si="7"/>
        <v>0</v>
      </c>
      <c r="I27" s="1917"/>
      <c r="J27" s="1919">
        <f t="shared" si="8"/>
        <v>0</v>
      </c>
      <c r="K27" s="1920">
        <f t="shared" si="14"/>
        <v>0</v>
      </c>
      <c r="L27" s="1921"/>
      <c r="M27" s="1915">
        <v>16</v>
      </c>
      <c r="N27" s="1922" t="s">
        <v>2104</v>
      </c>
      <c r="O27" s="610" t="s">
        <v>2144</v>
      </c>
      <c r="P27" s="1923" t="s">
        <v>2179</v>
      </c>
      <c r="Q27" s="1924" t="s">
        <v>83</v>
      </c>
      <c r="R27" s="1918"/>
      <c r="S27" s="1918"/>
      <c r="T27" s="1945">
        <f t="shared" si="10"/>
        <v>0</v>
      </c>
      <c r="U27" s="1946">
        <f t="shared" si="11"/>
        <v>0</v>
      </c>
      <c r="V27" s="1957">
        <f t="shared" si="13"/>
        <v>0</v>
      </c>
      <c r="W27" s="1956">
        <f t="shared" si="12"/>
        <v>37</v>
      </c>
    </row>
    <row r="28" spans="1:23" ht="14" hidden="1" customHeight="1">
      <c r="A28" s="706">
        <f t="shared" si="0"/>
        <v>17</v>
      </c>
      <c r="B28" s="1955" t="str">
        <f t="shared" si="1"/>
        <v>3.C.1.b</v>
      </c>
      <c r="C28" s="1955" t="str">
        <f t="shared" si="2"/>
        <v>UTCUTS</v>
      </c>
      <c r="D28" s="1955" t="str">
        <f t="shared" si="3"/>
        <v>Quema de biomasa en tierras agrícolas (quemas agrícolas)</v>
      </c>
      <c r="E28" s="1955" t="str">
        <f t="shared" si="4"/>
        <v>CH4</v>
      </c>
      <c r="F28" s="1918">
        <f t="shared" si="5"/>
        <v>0</v>
      </c>
      <c r="G28" s="1918">
        <f t="shared" si="6"/>
        <v>0</v>
      </c>
      <c r="H28" s="1918">
        <f t="shared" si="7"/>
        <v>0</v>
      </c>
      <c r="I28" s="1917"/>
      <c r="J28" s="1919">
        <f t="shared" si="8"/>
        <v>0</v>
      </c>
      <c r="K28" s="1920">
        <f t="shared" si="14"/>
        <v>0</v>
      </c>
      <c r="L28" s="1921"/>
      <c r="M28" s="1915">
        <v>17</v>
      </c>
      <c r="N28" s="1922" t="s">
        <v>2081</v>
      </c>
      <c r="O28" s="610" t="s">
        <v>2144</v>
      </c>
      <c r="P28" s="1923" t="s">
        <v>2176</v>
      </c>
      <c r="Q28" s="1924" t="s">
        <v>84</v>
      </c>
      <c r="R28" s="1918"/>
      <c r="S28" s="1918"/>
      <c r="T28" s="1945">
        <f t="shared" si="10"/>
        <v>0</v>
      </c>
      <c r="U28" s="1946">
        <f t="shared" si="11"/>
        <v>0</v>
      </c>
      <c r="V28" s="1957">
        <f t="shared" si="13"/>
        <v>0</v>
      </c>
      <c r="W28" s="1956">
        <f t="shared" si="12"/>
        <v>37</v>
      </c>
    </row>
    <row r="29" spans="1:23" ht="14.5" hidden="1" customHeight="1">
      <c r="A29" s="706">
        <f t="shared" si="0"/>
        <v>18</v>
      </c>
      <c r="B29" s="1955" t="str">
        <f t="shared" si="1"/>
        <v>3.B.1.a</v>
      </c>
      <c r="C29" s="1955" t="str">
        <f t="shared" si="2"/>
        <v>UTCUTS</v>
      </c>
      <c r="D29" s="1955" t="str">
        <f t="shared" si="3"/>
        <v>Incendios forestales</v>
      </c>
      <c r="E29" s="1955" t="str">
        <f t="shared" si="4"/>
        <v>N20</v>
      </c>
      <c r="F29" s="1918">
        <f t="shared" si="5"/>
        <v>0</v>
      </c>
      <c r="G29" s="1918">
        <f t="shared" si="6"/>
        <v>0</v>
      </c>
      <c r="H29" s="1918">
        <f t="shared" si="7"/>
        <v>0</v>
      </c>
      <c r="I29" s="1917"/>
      <c r="J29" s="1919">
        <f t="shared" si="8"/>
        <v>0</v>
      </c>
      <c r="K29" s="1920">
        <f t="shared" si="14"/>
        <v>0</v>
      </c>
      <c r="L29" s="1921"/>
      <c r="M29" s="1915">
        <v>18</v>
      </c>
      <c r="N29" s="1922" t="s">
        <v>2086</v>
      </c>
      <c r="O29" s="610" t="s">
        <v>2144</v>
      </c>
      <c r="P29" s="1923" t="s">
        <v>2186</v>
      </c>
      <c r="Q29" s="1924" t="s">
        <v>956</v>
      </c>
      <c r="R29" s="1918"/>
      <c r="S29" s="1918"/>
      <c r="T29" s="1945">
        <f t="shared" si="10"/>
        <v>0</v>
      </c>
      <c r="U29" s="1946">
        <f t="shared" si="11"/>
        <v>0</v>
      </c>
      <c r="V29" s="1957">
        <f t="shared" si="13"/>
        <v>0</v>
      </c>
      <c r="W29" s="1956">
        <f t="shared" si="12"/>
        <v>37</v>
      </c>
    </row>
    <row r="30" spans="1:23" ht="14.5" hidden="1" customHeight="1">
      <c r="A30" s="706">
        <f t="shared" si="0"/>
        <v>19</v>
      </c>
      <c r="B30" s="1955" t="str">
        <f t="shared" si="1"/>
        <v>3.C.1.b</v>
      </c>
      <c r="C30" s="1955" t="str">
        <f t="shared" si="2"/>
        <v>UTCUTS</v>
      </c>
      <c r="D30" s="1955" t="str">
        <f t="shared" si="3"/>
        <v>Quema de biomasa en tierras agrícolas (quemas agrícolas)</v>
      </c>
      <c r="E30" s="1955" t="str">
        <f t="shared" si="4"/>
        <v>CO2</v>
      </c>
      <c r="F30" s="1918">
        <f t="shared" si="5"/>
        <v>0</v>
      </c>
      <c r="G30" s="1918">
        <f t="shared" si="6"/>
        <v>0</v>
      </c>
      <c r="H30" s="1918">
        <f t="shared" si="7"/>
        <v>0</v>
      </c>
      <c r="I30" s="1917"/>
      <c r="J30" s="1919">
        <f t="shared" si="8"/>
        <v>0</v>
      </c>
      <c r="K30" s="1920">
        <f t="shared" si="14"/>
        <v>0</v>
      </c>
      <c r="L30" s="1921"/>
      <c r="M30" s="1915">
        <v>19</v>
      </c>
      <c r="N30" s="1922" t="s">
        <v>2081</v>
      </c>
      <c r="O30" s="610" t="s">
        <v>2144</v>
      </c>
      <c r="P30" s="1923" t="s">
        <v>2176</v>
      </c>
      <c r="Q30" s="1924" t="s">
        <v>83</v>
      </c>
      <c r="R30" s="1918"/>
      <c r="S30" s="1918"/>
      <c r="T30" s="1945">
        <f t="shared" si="10"/>
        <v>0</v>
      </c>
      <c r="U30" s="1946">
        <f t="shared" si="11"/>
        <v>0</v>
      </c>
      <c r="V30" s="1957">
        <f t="shared" si="13"/>
        <v>0</v>
      </c>
      <c r="W30" s="1956">
        <f t="shared" si="12"/>
        <v>37</v>
      </c>
    </row>
    <row r="31" spans="1:23" ht="14.5" hidden="1" customHeight="1">
      <c r="A31" s="706">
        <f t="shared" si="0"/>
        <v>20</v>
      </c>
      <c r="B31" s="1955" t="str">
        <f t="shared" si="1"/>
        <v>3.C.1.a</v>
      </c>
      <c r="C31" s="1955" t="str">
        <f t="shared" si="2"/>
        <v>UTCUTS</v>
      </c>
      <c r="D31" s="1955" t="str">
        <f t="shared" si="3"/>
        <v>Quema de biomasa en tierras forestales (incendios forestales)</v>
      </c>
      <c r="E31" s="1955" t="str">
        <f t="shared" si="4"/>
        <v>CH4</v>
      </c>
      <c r="F31" s="1918">
        <f t="shared" si="5"/>
        <v>0</v>
      </c>
      <c r="G31" s="1918">
        <f t="shared" si="6"/>
        <v>0</v>
      </c>
      <c r="H31" s="1918">
        <f t="shared" si="7"/>
        <v>0</v>
      </c>
      <c r="I31" s="1917"/>
      <c r="J31" s="1919">
        <f t="shared" si="8"/>
        <v>0</v>
      </c>
      <c r="K31" s="1920">
        <f t="shared" si="14"/>
        <v>0</v>
      </c>
      <c r="L31" s="1921"/>
      <c r="M31" s="1915">
        <v>20</v>
      </c>
      <c r="N31" s="1922" t="s">
        <v>2189</v>
      </c>
      <c r="O31" s="610" t="s">
        <v>2144</v>
      </c>
      <c r="P31" s="1923" t="s">
        <v>2190</v>
      </c>
      <c r="Q31" s="1924" t="s">
        <v>84</v>
      </c>
      <c r="R31" s="1918"/>
      <c r="S31" s="1918"/>
      <c r="T31" s="1945">
        <f t="shared" si="10"/>
        <v>0</v>
      </c>
      <c r="U31" s="1946">
        <f t="shared" si="11"/>
        <v>0</v>
      </c>
      <c r="V31" s="1957">
        <f t="shared" si="13"/>
        <v>0</v>
      </c>
      <c r="W31" s="1956">
        <f t="shared" si="12"/>
        <v>37</v>
      </c>
    </row>
    <row r="32" spans="1:23" ht="14.5" hidden="1" customHeight="1">
      <c r="A32" s="706">
        <f t="shared" si="0"/>
        <v>21</v>
      </c>
      <c r="B32" s="1955" t="str">
        <f t="shared" si="1"/>
        <v>3.C.1.a</v>
      </c>
      <c r="C32" s="1955" t="str">
        <f t="shared" si="2"/>
        <v>UTCUTS</v>
      </c>
      <c r="D32" s="1955" t="str">
        <f t="shared" si="3"/>
        <v>Quema de biomasa en tierras forestales (incendios forestales)</v>
      </c>
      <c r="E32" s="1955" t="str">
        <f t="shared" si="4"/>
        <v>N20</v>
      </c>
      <c r="F32" s="1918">
        <f t="shared" si="5"/>
        <v>0</v>
      </c>
      <c r="G32" s="1918">
        <f t="shared" si="6"/>
        <v>0</v>
      </c>
      <c r="H32" s="1918">
        <f t="shared" si="7"/>
        <v>0</v>
      </c>
      <c r="I32" s="1917"/>
      <c r="J32" s="1919">
        <f t="shared" si="8"/>
        <v>0</v>
      </c>
      <c r="K32" s="1920">
        <f t="shared" si="14"/>
        <v>0</v>
      </c>
      <c r="L32" s="1921"/>
      <c r="M32" s="1915">
        <v>21</v>
      </c>
      <c r="N32" s="1922" t="s">
        <v>2189</v>
      </c>
      <c r="O32" s="610" t="s">
        <v>2144</v>
      </c>
      <c r="P32" s="1923" t="s">
        <v>2190</v>
      </c>
      <c r="Q32" s="1924" t="s">
        <v>956</v>
      </c>
      <c r="R32" s="1918"/>
      <c r="S32" s="1918"/>
      <c r="T32" s="1945">
        <f t="shared" si="10"/>
        <v>0</v>
      </c>
      <c r="U32" s="1946">
        <f t="shared" si="11"/>
        <v>0</v>
      </c>
      <c r="V32" s="1957">
        <f t="shared" si="13"/>
        <v>0</v>
      </c>
      <c r="W32" s="1956">
        <f t="shared" si="12"/>
        <v>37</v>
      </c>
    </row>
    <row r="33" spans="1:23" ht="14.5" hidden="1" customHeight="1">
      <c r="A33" s="706">
        <f t="shared" si="0"/>
        <v>22</v>
      </c>
      <c r="B33" s="1955" t="str">
        <f t="shared" si="1"/>
        <v>1A1</v>
      </c>
      <c r="C33" s="1955" t="str">
        <f t="shared" si="2"/>
        <v>Energía</v>
      </c>
      <c r="D33" s="1955" t="str">
        <f t="shared" si="3"/>
        <v>Industrias de la energía</v>
      </c>
      <c r="E33" s="1955" t="str">
        <f t="shared" si="4"/>
        <v>CO2</v>
      </c>
      <c r="F33" s="1918">
        <f t="shared" si="5"/>
        <v>0</v>
      </c>
      <c r="G33" s="1918">
        <f t="shared" si="6"/>
        <v>0</v>
      </c>
      <c r="H33" s="1918">
        <f t="shared" si="7"/>
        <v>0</v>
      </c>
      <c r="I33" s="1917"/>
      <c r="J33" s="1919">
        <f t="shared" si="8"/>
        <v>0</v>
      </c>
      <c r="K33" s="1920">
        <f t="shared" si="14"/>
        <v>0</v>
      </c>
      <c r="L33" s="1921"/>
      <c r="M33" s="1915">
        <v>22</v>
      </c>
      <c r="N33" s="1922" t="s">
        <v>2151</v>
      </c>
      <c r="O33" s="610" t="s">
        <v>2148</v>
      </c>
      <c r="P33" s="1923" t="s">
        <v>2152</v>
      </c>
      <c r="Q33" s="1924" t="s">
        <v>83</v>
      </c>
      <c r="R33" s="1918"/>
      <c r="S33" s="1918"/>
      <c r="T33" s="1945">
        <f t="shared" si="10"/>
        <v>0</v>
      </c>
      <c r="U33" s="1946">
        <f t="shared" si="11"/>
        <v>0</v>
      </c>
      <c r="V33" s="1957">
        <f t="shared" si="13"/>
        <v>0</v>
      </c>
      <c r="W33" s="1956">
        <f t="shared" si="12"/>
        <v>37</v>
      </c>
    </row>
    <row r="34" spans="1:23" ht="14.5" hidden="1" customHeight="1">
      <c r="A34" s="706">
        <f t="shared" si="0"/>
        <v>23</v>
      </c>
      <c r="B34" s="1955" t="str">
        <f t="shared" si="1"/>
        <v>1A3</v>
      </c>
      <c r="C34" s="1955" t="str">
        <f t="shared" si="2"/>
        <v>Energía</v>
      </c>
      <c r="D34" s="1955" t="str">
        <f t="shared" si="3"/>
        <v>Transporte</v>
      </c>
      <c r="E34" s="1955" t="str">
        <f t="shared" si="4"/>
        <v>CO2</v>
      </c>
      <c r="F34" s="1918">
        <f t="shared" si="5"/>
        <v>0</v>
      </c>
      <c r="G34" s="1918">
        <f t="shared" si="6"/>
        <v>0</v>
      </c>
      <c r="H34" s="1918">
        <f t="shared" si="7"/>
        <v>0</v>
      </c>
      <c r="I34" s="1917"/>
      <c r="J34" s="1919">
        <f t="shared" si="8"/>
        <v>0</v>
      </c>
      <c r="K34" s="1920">
        <f t="shared" si="14"/>
        <v>0</v>
      </c>
      <c r="L34" s="1921"/>
      <c r="M34" s="1915">
        <v>23</v>
      </c>
      <c r="N34" s="1922" t="s">
        <v>2147</v>
      </c>
      <c r="O34" s="610" t="s">
        <v>2148</v>
      </c>
      <c r="P34" s="1923" t="s">
        <v>2149</v>
      </c>
      <c r="Q34" s="1924" t="s">
        <v>83</v>
      </c>
      <c r="R34" s="1918"/>
      <c r="S34" s="1918"/>
      <c r="T34" s="1945">
        <f t="shared" si="10"/>
        <v>0</v>
      </c>
      <c r="U34" s="1946">
        <f t="shared" si="11"/>
        <v>0</v>
      </c>
      <c r="V34" s="1957">
        <f t="shared" si="13"/>
        <v>0</v>
      </c>
      <c r="W34" s="1956">
        <f t="shared" si="12"/>
        <v>37</v>
      </c>
    </row>
    <row r="35" spans="1:23" ht="14.5" hidden="1" customHeight="1">
      <c r="A35" s="706">
        <f t="shared" si="0"/>
        <v>24</v>
      </c>
      <c r="B35" s="1955" t="str">
        <f t="shared" si="1"/>
        <v>1A5</v>
      </c>
      <c r="C35" s="1955" t="str">
        <f t="shared" si="2"/>
        <v>Energía</v>
      </c>
      <c r="D35" s="1955" t="str">
        <f t="shared" si="3"/>
        <v>No especificado</v>
      </c>
      <c r="E35" s="1955" t="str">
        <f t="shared" si="4"/>
        <v>CO2</v>
      </c>
      <c r="F35" s="1918">
        <f t="shared" si="5"/>
        <v>0</v>
      </c>
      <c r="G35" s="1918">
        <f t="shared" si="6"/>
        <v>0</v>
      </c>
      <c r="H35" s="1918">
        <f t="shared" si="7"/>
        <v>0</v>
      </c>
      <c r="I35" s="1917"/>
      <c r="J35" s="1919">
        <f t="shared" si="8"/>
        <v>0</v>
      </c>
      <c r="K35" s="1920">
        <f t="shared" si="14"/>
        <v>0</v>
      </c>
      <c r="L35" s="1921"/>
      <c r="M35" s="1915">
        <v>24</v>
      </c>
      <c r="N35" s="1922" t="s">
        <v>2156</v>
      </c>
      <c r="O35" s="610" t="s">
        <v>2148</v>
      </c>
      <c r="P35" s="1923" t="s">
        <v>2157</v>
      </c>
      <c r="Q35" s="1924" t="s">
        <v>83</v>
      </c>
      <c r="R35" s="1918"/>
      <c r="S35" s="1918"/>
      <c r="T35" s="1945">
        <f t="shared" si="10"/>
        <v>0</v>
      </c>
      <c r="U35" s="1946">
        <f t="shared" si="11"/>
        <v>0</v>
      </c>
      <c r="V35" s="1957">
        <f t="shared" si="13"/>
        <v>0</v>
      </c>
      <c r="W35" s="1956">
        <f t="shared" si="12"/>
        <v>37</v>
      </c>
    </row>
    <row r="36" spans="1:23" ht="14.5" hidden="1" customHeight="1">
      <c r="A36" s="706">
        <f t="shared" si="0"/>
        <v>25</v>
      </c>
      <c r="B36" s="1955" t="str">
        <f t="shared" si="1"/>
        <v>1A2</v>
      </c>
      <c r="C36" s="1955" t="str">
        <f t="shared" si="2"/>
        <v>Energía</v>
      </c>
      <c r="D36" s="1955" t="str">
        <f t="shared" si="3"/>
        <v>Industrias manufactureras y de la construcción</v>
      </c>
      <c r="E36" s="1955" t="str">
        <f t="shared" si="4"/>
        <v>CO2</v>
      </c>
      <c r="F36" s="1918">
        <f t="shared" si="5"/>
        <v>0</v>
      </c>
      <c r="G36" s="1918">
        <f t="shared" si="6"/>
        <v>0</v>
      </c>
      <c r="H36" s="1918">
        <f t="shared" si="7"/>
        <v>0</v>
      </c>
      <c r="I36" s="1917"/>
      <c r="J36" s="1919">
        <f t="shared" si="8"/>
        <v>0</v>
      </c>
      <c r="K36" s="1920">
        <f t="shared" si="14"/>
        <v>0</v>
      </c>
      <c r="L36" s="1921"/>
      <c r="M36" s="1915">
        <v>25</v>
      </c>
      <c r="N36" s="1922" t="s">
        <v>2153</v>
      </c>
      <c r="O36" s="610" t="s">
        <v>2148</v>
      </c>
      <c r="P36" s="1923" t="s">
        <v>2154</v>
      </c>
      <c r="Q36" s="1924" t="s">
        <v>83</v>
      </c>
      <c r="R36" s="1918"/>
      <c r="S36" s="1918"/>
      <c r="T36" s="1945">
        <f t="shared" si="10"/>
        <v>0</v>
      </c>
      <c r="U36" s="1946">
        <f t="shared" si="11"/>
        <v>0</v>
      </c>
      <c r="V36" s="1957">
        <f t="shared" si="13"/>
        <v>0</v>
      </c>
      <c r="W36" s="1956">
        <f t="shared" si="12"/>
        <v>37</v>
      </c>
    </row>
    <row r="37" spans="1:23" ht="14.5" hidden="1" customHeight="1">
      <c r="A37" s="706">
        <f t="shared" si="0"/>
        <v>26</v>
      </c>
      <c r="B37" s="1955" t="str">
        <f t="shared" si="1"/>
        <v>1B2</v>
      </c>
      <c r="C37" s="1955" t="str">
        <f t="shared" si="2"/>
        <v>Energía</v>
      </c>
      <c r="D37" s="1955" t="str">
        <f t="shared" si="3"/>
        <v>Petróleo y gas natural</v>
      </c>
      <c r="E37" s="1955" t="str">
        <f t="shared" si="4"/>
        <v>CO2</v>
      </c>
      <c r="F37" s="1918">
        <f t="shared" si="5"/>
        <v>0</v>
      </c>
      <c r="G37" s="1918">
        <f t="shared" si="6"/>
        <v>0</v>
      </c>
      <c r="H37" s="1918">
        <f t="shared" si="7"/>
        <v>0</v>
      </c>
      <c r="I37" s="1917"/>
      <c r="J37" s="1919">
        <f t="shared" si="8"/>
        <v>0</v>
      </c>
      <c r="K37" s="1920">
        <f t="shared" si="14"/>
        <v>0</v>
      </c>
      <c r="L37" s="1921"/>
      <c r="M37" s="1915">
        <v>26</v>
      </c>
      <c r="N37" s="1922" t="s">
        <v>2168</v>
      </c>
      <c r="O37" s="610" t="s">
        <v>2148</v>
      </c>
      <c r="P37" s="1923" t="s">
        <v>2169</v>
      </c>
      <c r="Q37" s="1924" t="s">
        <v>83</v>
      </c>
      <c r="R37" s="1918"/>
      <c r="S37" s="1918"/>
      <c r="T37" s="1945">
        <f t="shared" si="10"/>
        <v>0</v>
      </c>
      <c r="U37" s="1946">
        <f t="shared" si="11"/>
        <v>0</v>
      </c>
      <c r="V37" s="1957">
        <f t="shared" si="13"/>
        <v>0</v>
      </c>
      <c r="W37" s="1956">
        <f t="shared" si="12"/>
        <v>37</v>
      </c>
    </row>
    <row r="38" spans="1:23" ht="14.5" hidden="1" customHeight="1">
      <c r="A38" s="706">
        <f t="shared" si="0"/>
        <v>27</v>
      </c>
      <c r="B38" s="1955" t="str">
        <f t="shared" si="1"/>
        <v>1B2</v>
      </c>
      <c r="C38" s="1955" t="str">
        <f t="shared" si="2"/>
        <v>Energía</v>
      </c>
      <c r="D38" s="1955" t="str">
        <f t="shared" si="3"/>
        <v>Petróleo y gas natural</v>
      </c>
      <c r="E38" s="1955" t="str">
        <f t="shared" si="4"/>
        <v>CH4</v>
      </c>
      <c r="F38" s="1918">
        <f t="shared" si="5"/>
        <v>0</v>
      </c>
      <c r="G38" s="1918">
        <f t="shared" si="6"/>
        <v>0</v>
      </c>
      <c r="H38" s="1918">
        <f t="shared" si="7"/>
        <v>0</v>
      </c>
      <c r="I38" s="1917"/>
      <c r="J38" s="1919">
        <f t="shared" si="8"/>
        <v>0</v>
      </c>
      <c r="K38" s="1920">
        <f t="shared" si="14"/>
        <v>0</v>
      </c>
      <c r="L38" s="1921"/>
      <c r="M38" s="1915">
        <v>27</v>
      </c>
      <c r="N38" s="1922" t="s">
        <v>2168</v>
      </c>
      <c r="O38" s="610" t="s">
        <v>2148</v>
      </c>
      <c r="P38" s="1923" t="s">
        <v>2169</v>
      </c>
      <c r="Q38" s="1924" t="s">
        <v>84</v>
      </c>
      <c r="R38" s="1918"/>
      <c r="S38" s="1918"/>
      <c r="T38" s="1945">
        <f t="shared" si="10"/>
        <v>0</v>
      </c>
      <c r="U38" s="1946">
        <f t="shared" si="11"/>
        <v>0</v>
      </c>
      <c r="V38" s="1957">
        <f t="shared" si="13"/>
        <v>0</v>
      </c>
      <c r="W38" s="1956">
        <f t="shared" si="12"/>
        <v>37</v>
      </c>
    </row>
    <row r="39" spans="1:23" ht="16.5" hidden="1">
      <c r="A39" s="706">
        <f t="shared" si="0"/>
        <v>28</v>
      </c>
      <c r="B39" s="1955" t="str">
        <f t="shared" si="1"/>
        <v>1A4</v>
      </c>
      <c r="C39" s="1955" t="str">
        <f t="shared" si="2"/>
        <v>Energía</v>
      </c>
      <c r="D39" s="1955" t="str">
        <f t="shared" si="3"/>
        <v>Otros sectores</v>
      </c>
      <c r="E39" s="1955" t="str">
        <f t="shared" si="4"/>
        <v>CH4</v>
      </c>
      <c r="F39" s="1918">
        <f t="shared" si="5"/>
        <v>0</v>
      </c>
      <c r="G39" s="1918">
        <f t="shared" si="6"/>
        <v>0</v>
      </c>
      <c r="H39" s="1918">
        <f t="shared" si="7"/>
        <v>0</v>
      </c>
      <c r="I39" s="1917"/>
      <c r="J39" s="1919">
        <f t="shared" si="8"/>
        <v>0</v>
      </c>
      <c r="K39" s="1920">
        <f t="shared" si="14"/>
        <v>0</v>
      </c>
      <c r="L39" s="1921"/>
      <c r="M39" s="1915">
        <v>28</v>
      </c>
      <c r="N39" s="1922" t="s">
        <v>2158</v>
      </c>
      <c r="O39" s="610" t="s">
        <v>2148</v>
      </c>
      <c r="P39" s="1923" t="s">
        <v>2159</v>
      </c>
      <c r="Q39" s="1924" t="s">
        <v>84</v>
      </c>
      <c r="R39" s="1918"/>
      <c r="S39" s="1918"/>
      <c r="T39" s="1945">
        <f t="shared" si="10"/>
        <v>0</v>
      </c>
      <c r="U39" s="1946">
        <f t="shared" si="11"/>
        <v>0</v>
      </c>
      <c r="V39" s="1957">
        <f t="shared" si="13"/>
        <v>0</v>
      </c>
      <c r="W39" s="1956">
        <f t="shared" si="12"/>
        <v>37</v>
      </c>
    </row>
    <row r="40" spans="1:23" ht="16.5" hidden="1">
      <c r="A40" s="706">
        <f t="shared" si="0"/>
        <v>29</v>
      </c>
      <c r="B40" s="1955" t="str">
        <f t="shared" si="1"/>
        <v>1A4</v>
      </c>
      <c r="C40" s="1955" t="str">
        <f t="shared" si="2"/>
        <v>Energía</v>
      </c>
      <c r="D40" s="1955" t="str">
        <f t="shared" si="3"/>
        <v>Otros sectores</v>
      </c>
      <c r="E40" s="1955" t="str">
        <f t="shared" si="4"/>
        <v>CO2</v>
      </c>
      <c r="F40" s="1918">
        <f t="shared" si="5"/>
        <v>0</v>
      </c>
      <c r="G40" s="1918">
        <f t="shared" si="6"/>
        <v>0</v>
      </c>
      <c r="H40" s="1918">
        <f t="shared" si="7"/>
        <v>0</v>
      </c>
      <c r="I40" s="1917"/>
      <c r="J40" s="1919">
        <f t="shared" si="8"/>
        <v>0</v>
      </c>
      <c r="K40" s="1920">
        <f t="shared" si="14"/>
        <v>0</v>
      </c>
      <c r="L40" s="1921"/>
      <c r="M40" s="1915">
        <v>29</v>
      </c>
      <c r="N40" s="1922" t="s">
        <v>2158</v>
      </c>
      <c r="O40" s="610" t="s">
        <v>2148</v>
      </c>
      <c r="P40" s="1923" t="s">
        <v>2159</v>
      </c>
      <c r="Q40" s="1924" t="s">
        <v>83</v>
      </c>
      <c r="R40" s="1918"/>
      <c r="S40" s="1918"/>
      <c r="T40" s="1945">
        <f t="shared" si="10"/>
        <v>0</v>
      </c>
      <c r="U40" s="1946">
        <f t="shared" si="11"/>
        <v>0</v>
      </c>
      <c r="V40" s="1957">
        <f t="shared" si="13"/>
        <v>0</v>
      </c>
      <c r="W40" s="1956">
        <f t="shared" si="12"/>
        <v>37</v>
      </c>
    </row>
    <row r="41" spans="1:23" ht="16.5" hidden="1">
      <c r="A41" s="706">
        <f t="shared" si="0"/>
        <v>30</v>
      </c>
      <c r="B41" s="1955" t="str">
        <f t="shared" si="1"/>
        <v>1A3</v>
      </c>
      <c r="C41" s="1955" t="str">
        <f t="shared" si="2"/>
        <v>Energía</v>
      </c>
      <c r="D41" s="1955" t="str">
        <f t="shared" si="3"/>
        <v>Transporte</v>
      </c>
      <c r="E41" s="1955" t="str">
        <f t="shared" si="4"/>
        <v>N2O</v>
      </c>
      <c r="F41" s="1918">
        <f t="shared" si="5"/>
        <v>0</v>
      </c>
      <c r="G41" s="1918">
        <f t="shared" si="6"/>
        <v>0</v>
      </c>
      <c r="H41" s="1918">
        <f t="shared" si="7"/>
        <v>0</v>
      </c>
      <c r="I41" s="1917"/>
      <c r="J41" s="1919">
        <f t="shared" si="8"/>
        <v>0</v>
      </c>
      <c r="K41" s="1920">
        <f t="shared" si="14"/>
        <v>0</v>
      </c>
      <c r="L41" s="1921"/>
      <c r="M41" s="1915">
        <v>30</v>
      </c>
      <c r="N41" s="1922" t="s">
        <v>2147</v>
      </c>
      <c r="O41" s="610" t="s">
        <v>2148</v>
      </c>
      <c r="P41" s="1923" t="s">
        <v>2149</v>
      </c>
      <c r="Q41" s="1924" t="s">
        <v>85</v>
      </c>
      <c r="R41" s="1918"/>
      <c r="S41" s="1918"/>
      <c r="T41" s="1945">
        <f t="shared" si="10"/>
        <v>0</v>
      </c>
      <c r="U41" s="1946">
        <f t="shared" si="11"/>
        <v>0</v>
      </c>
      <c r="V41" s="1957">
        <f t="shared" si="13"/>
        <v>0</v>
      </c>
      <c r="W41" s="1956">
        <f t="shared" si="12"/>
        <v>37</v>
      </c>
    </row>
    <row r="42" spans="1:23" ht="16.5" hidden="1">
      <c r="A42" s="706">
        <f t="shared" si="0"/>
        <v>31</v>
      </c>
      <c r="B42" s="1955" t="str">
        <f t="shared" si="1"/>
        <v>1A4</v>
      </c>
      <c r="C42" s="1955" t="str">
        <f t="shared" si="2"/>
        <v>Energía</v>
      </c>
      <c r="D42" s="1955" t="str">
        <f t="shared" si="3"/>
        <v>Otros sectores</v>
      </c>
      <c r="E42" s="1955" t="str">
        <f t="shared" si="4"/>
        <v>N2O</v>
      </c>
      <c r="F42" s="1918">
        <f t="shared" si="5"/>
        <v>0</v>
      </c>
      <c r="G42" s="1918">
        <f t="shared" si="6"/>
        <v>0</v>
      </c>
      <c r="H42" s="1918">
        <f t="shared" si="7"/>
        <v>0</v>
      </c>
      <c r="I42" s="1917"/>
      <c r="J42" s="1919">
        <f t="shared" si="8"/>
        <v>0</v>
      </c>
      <c r="K42" s="1920">
        <f t="shared" si="14"/>
        <v>0</v>
      </c>
      <c r="L42" s="1921"/>
      <c r="M42" s="1915">
        <v>31</v>
      </c>
      <c r="N42" s="1922" t="s">
        <v>2158</v>
      </c>
      <c r="O42" s="610" t="s">
        <v>2148</v>
      </c>
      <c r="P42" s="1923" t="s">
        <v>2159</v>
      </c>
      <c r="Q42" s="1924" t="s">
        <v>85</v>
      </c>
      <c r="R42" s="1918"/>
      <c r="S42" s="1918"/>
      <c r="T42" s="1945">
        <f t="shared" si="10"/>
        <v>0</v>
      </c>
      <c r="U42" s="1946">
        <f t="shared" si="11"/>
        <v>0</v>
      </c>
      <c r="V42" s="1957">
        <f t="shared" si="13"/>
        <v>0</v>
      </c>
      <c r="W42" s="1956">
        <f t="shared" si="12"/>
        <v>37</v>
      </c>
    </row>
    <row r="43" spans="1:23" ht="16.5" hidden="1">
      <c r="A43" s="706">
        <f t="shared" si="0"/>
        <v>32</v>
      </c>
      <c r="B43" s="1955" t="str">
        <f t="shared" si="1"/>
        <v>1A3</v>
      </c>
      <c r="C43" s="1955" t="str">
        <f t="shared" si="2"/>
        <v>Energía</v>
      </c>
      <c r="D43" s="1955" t="str">
        <f t="shared" si="3"/>
        <v>Transporte</v>
      </c>
      <c r="E43" s="1955" t="str">
        <f t="shared" si="4"/>
        <v>CH4</v>
      </c>
      <c r="F43" s="1918">
        <f t="shared" si="5"/>
        <v>0</v>
      </c>
      <c r="G43" s="1918">
        <f t="shared" si="6"/>
        <v>0</v>
      </c>
      <c r="H43" s="1918">
        <f t="shared" si="7"/>
        <v>0</v>
      </c>
      <c r="I43" s="1917"/>
      <c r="J43" s="1919">
        <f t="shared" si="8"/>
        <v>0</v>
      </c>
      <c r="K43" s="1920">
        <f t="shared" si="14"/>
        <v>0</v>
      </c>
      <c r="L43" s="1921"/>
      <c r="M43" s="1915">
        <v>32</v>
      </c>
      <c r="N43" s="1922" t="s">
        <v>2147</v>
      </c>
      <c r="O43" s="610" t="s">
        <v>2148</v>
      </c>
      <c r="P43" s="1923" t="s">
        <v>2149</v>
      </c>
      <c r="Q43" s="1924" t="s">
        <v>84</v>
      </c>
      <c r="R43" s="1918"/>
      <c r="S43" s="1918"/>
      <c r="T43" s="1945">
        <f t="shared" si="10"/>
        <v>0</v>
      </c>
      <c r="U43" s="1946">
        <f t="shared" si="11"/>
        <v>0</v>
      </c>
      <c r="V43" s="1957">
        <f t="shared" si="13"/>
        <v>0</v>
      </c>
      <c r="W43" s="1956">
        <f t="shared" si="12"/>
        <v>37</v>
      </c>
    </row>
    <row r="44" spans="1:23" ht="16.5" hidden="1">
      <c r="A44" s="706">
        <f t="shared" ref="A44:A75" si="15">M44</f>
        <v>33</v>
      </c>
      <c r="B44" s="1955" t="str">
        <f t="shared" ref="B44:B75" si="16">N44</f>
        <v>1A1</v>
      </c>
      <c r="C44" s="1955" t="str">
        <f t="shared" ref="C44:C75" si="17">O44</f>
        <v>Energía</v>
      </c>
      <c r="D44" s="1955" t="str">
        <f t="shared" ref="D44:D75" si="18">P44</f>
        <v>Industrias de la energía</v>
      </c>
      <c r="E44" s="1955" t="str">
        <f t="shared" ref="E44:E75" si="19">Q44</f>
        <v>N2O</v>
      </c>
      <c r="F44" s="1918">
        <f t="shared" ref="F44:F75" si="20">S44</f>
        <v>0</v>
      </c>
      <c r="G44" s="1918">
        <f t="shared" ref="G44:G75" si="21">S44</f>
        <v>0</v>
      </c>
      <c r="H44" s="1918">
        <f t="shared" ref="H44:H60" si="22">ABS(F44)</f>
        <v>0</v>
      </c>
      <c r="I44" s="1917"/>
      <c r="J44" s="1919">
        <f t="shared" ref="J44:J60" si="23">IFERROR(H44/$H$93,"faltan datos")</f>
        <v>0</v>
      </c>
      <c r="K44" s="1920">
        <f t="shared" si="14"/>
        <v>0</v>
      </c>
      <c r="L44" s="1921"/>
      <c r="M44" s="1915">
        <v>33</v>
      </c>
      <c r="N44" s="1922" t="s">
        <v>2151</v>
      </c>
      <c r="O44" s="610" t="s">
        <v>2148</v>
      </c>
      <c r="P44" s="1923" t="s">
        <v>2152</v>
      </c>
      <c r="Q44" s="1924" t="s">
        <v>85</v>
      </c>
      <c r="R44" s="1918"/>
      <c r="S44" s="1918"/>
      <c r="T44" s="1945">
        <f t="shared" ref="T44:T75" si="24">ABS((S44-R44)/(S$93-R$93))</f>
        <v>0</v>
      </c>
      <c r="U44" s="1946">
        <f t="shared" ref="U44:U75" si="25">T44/T$93</f>
        <v>0</v>
      </c>
      <c r="V44" s="1957">
        <f t="shared" si="13"/>
        <v>0</v>
      </c>
      <c r="W44" s="1956">
        <f t="shared" si="12"/>
        <v>37</v>
      </c>
    </row>
    <row r="45" spans="1:23" ht="16.5" hidden="1">
      <c r="A45" s="706">
        <f t="shared" si="15"/>
        <v>34</v>
      </c>
      <c r="B45" s="1955" t="str">
        <f t="shared" si="16"/>
        <v>1A2</v>
      </c>
      <c r="C45" s="1955" t="str">
        <f t="shared" si="17"/>
        <v>Energía</v>
      </c>
      <c r="D45" s="1955" t="str">
        <f t="shared" si="18"/>
        <v>Industrias manufactureras y de la construcción</v>
      </c>
      <c r="E45" s="1955" t="str">
        <f t="shared" si="19"/>
        <v>N2O</v>
      </c>
      <c r="F45" s="1918">
        <f t="shared" si="20"/>
        <v>0</v>
      </c>
      <c r="G45" s="1918">
        <f t="shared" si="21"/>
        <v>0</v>
      </c>
      <c r="H45" s="1918">
        <f t="shared" si="22"/>
        <v>0</v>
      </c>
      <c r="I45" s="1917"/>
      <c r="J45" s="1919">
        <f t="shared" si="23"/>
        <v>0</v>
      </c>
      <c r="K45" s="1920">
        <f t="shared" si="14"/>
        <v>0</v>
      </c>
      <c r="L45" s="1921"/>
      <c r="M45" s="1915">
        <v>34</v>
      </c>
      <c r="N45" s="1922" t="s">
        <v>2153</v>
      </c>
      <c r="O45" s="610" t="s">
        <v>2148</v>
      </c>
      <c r="P45" s="1923" t="s">
        <v>2154</v>
      </c>
      <c r="Q45" s="1924" t="s">
        <v>85</v>
      </c>
      <c r="R45" s="1918"/>
      <c r="S45" s="1918"/>
      <c r="T45" s="1945">
        <f t="shared" si="24"/>
        <v>0</v>
      </c>
      <c r="U45" s="1946">
        <f t="shared" si="25"/>
        <v>0</v>
      </c>
      <c r="V45" s="1957">
        <f t="shared" ref="V45:V76" si="26">U45+V44</f>
        <v>0</v>
      </c>
      <c r="W45" s="1956">
        <f t="shared" si="12"/>
        <v>37</v>
      </c>
    </row>
    <row r="46" spans="1:23" ht="16.5" hidden="1">
      <c r="A46" s="706">
        <f t="shared" si="15"/>
        <v>35</v>
      </c>
      <c r="B46" s="1955" t="str">
        <f t="shared" si="16"/>
        <v>1A5</v>
      </c>
      <c r="C46" s="1955" t="str">
        <f t="shared" si="17"/>
        <v>Energía</v>
      </c>
      <c r="D46" s="1955" t="str">
        <f t="shared" si="18"/>
        <v>No especificado</v>
      </c>
      <c r="E46" s="1955" t="str">
        <f t="shared" si="19"/>
        <v>N2O</v>
      </c>
      <c r="F46" s="1918">
        <f t="shared" si="20"/>
        <v>0</v>
      </c>
      <c r="G46" s="1918">
        <f t="shared" si="21"/>
        <v>0</v>
      </c>
      <c r="H46" s="1918">
        <f t="shared" si="22"/>
        <v>0</v>
      </c>
      <c r="I46" s="1917"/>
      <c r="J46" s="1919">
        <f t="shared" si="23"/>
        <v>0</v>
      </c>
      <c r="K46" s="1920">
        <f t="shared" si="14"/>
        <v>0</v>
      </c>
      <c r="L46" s="1921"/>
      <c r="M46" s="1915">
        <v>35</v>
      </c>
      <c r="N46" s="1922" t="s">
        <v>2156</v>
      </c>
      <c r="O46" s="610" t="s">
        <v>2148</v>
      </c>
      <c r="P46" s="1923" t="s">
        <v>2157</v>
      </c>
      <c r="Q46" s="1924" t="s">
        <v>85</v>
      </c>
      <c r="R46" s="1918"/>
      <c r="S46" s="1918"/>
      <c r="T46" s="1945">
        <f t="shared" si="24"/>
        <v>0</v>
      </c>
      <c r="U46" s="1946">
        <f t="shared" si="25"/>
        <v>0</v>
      </c>
      <c r="V46" s="1957">
        <f t="shared" si="26"/>
        <v>0</v>
      </c>
      <c r="W46" s="1956">
        <f t="shared" si="12"/>
        <v>37</v>
      </c>
    </row>
    <row r="47" spans="1:23" ht="16.5" hidden="1">
      <c r="A47" s="706">
        <f t="shared" si="15"/>
        <v>36</v>
      </c>
      <c r="B47" s="1955" t="str">
        <f t="shared" si="16"/>
        <v>1A2</v>
      </c>
      <c r="C47" s="1955" t="str">
        <f t="shared" si="17"/>
        <v>Energía</v>
      </c>
      <c r="D47" s="1955" t="str">
        <f t="shared" si="18"/>
        <v>Industrias manufactureras y de la construcción</v>
      </c>
      <c r="E47" s="1955" t="str">
        <f t="shared" si="19"/>
        <v>CH4</v>
      </c>
      <c r="F47" s="1918">
        <f t="shared" si="20"/>
        <v>0</v>
      </c>
      <c r="G47" s="1918">
        <f t="shared" si="21"/>
        <v>0</v>
      </c>
      <c r="H47" s="1918">
        <f t="shared" si="22"/>
        <v>0</v>
      </c>
      <c r="I47" s="1917"/>
      <c r="J47" s="1919">
        <f t="shared" si="23"/>
        <v>0</v>
      </c>
      <c r="K47" s="1920">
        <f t="shared" si="14"/>
        <v>0</v>
      </c>
      <c r="L47" s="1921"/>
      <c r="M47" s="1915">
        <v>36</v>
      </c>
      <c r="N47" s="1922" t="s">
        <v>2153</v>
      </c>
      <c r="O47" s="610" t="s">
        <v>2148</v>
      </c>
      <c r="P47" s="1923" t="s">
        <v>2154</v>
      </c>
      <c r="Q47" s="1924" t="s">
        <v>84</v>
      </c>
      <c r="R47" s="1918"/>
      <c r="S47" s="1918"/>
      <c r="T47" s="1945">
        <f t="shared" si="24"/>
        <v>0</v>
      </c>
      <c r="U47" s="1946">
        <f t="shared" si="25"/>
        <v>0</v>
      </c>
      <c r="V47" s="1957">
        <f t="shared" si="26"/>
        <v>0</v>
      </c>
      <c r="W47" s="1956">
        <f t="shared" si="12"/>
        <v>37</v>
      </c>
    </row>
    <row r="48" spans="1:23" ht="16.5" hidden="1">
      <c r="A48" s="706">
        <f t="shared" si="15"/>
        <v>37</v>
      </c>
      <c r="B48" s="1955" t="str">
        <f t="shared" si="16"/>
        <v>1B2</v>
      </c>
      <c r="C48" s="1955" t="str">
        <f t="shared" si="17"/>
        <v>Energía</v>
      </c>
      <c r="D48" s="1955" t="str">
        <f t="shared" si="18"/>
        <v>Petróleo y gas natural</v>
      </c>
      <c r="E48" s="1955" t="str">
        <f t="shared" si="19"/>
        <v>N2O</v>
      </c>
      <c r="F48" s="1918">
        <f t="shared" si="20"/>
        <v>0</v>
      </c>
      <c r="G48" s="1918">
        <f t="shared" si="21"/>
        <v>0</v>
      </c>
      <c r="H48" s="1918">
        <f t="shared" si="22"/>
        <v>0</v>
      </c>
      <c r="I48" s="1917"/>
      <c r="J48" s="1919">
        <f t="shared" si="23"/>
        <v>0</v>
      </c>
      <c r="K48" s="1920">
        <f t="shared" si="14"/>
        <v>0</v>
      </c>
      <c r="L48" s="1921"/>
      <c r="M48" s="1915">
        <v>37</v>
      </c>
      <c r="N48" s="1922" t="s">
        <v>2168</v>
      </c>
      <c r="O48" s="610" t="s">
        <v>2148</v>
      </c>
      <c r="P48" s="1923" t="s">
        <v>2169</v>
      </c>
      <c r="Q48" s="1924" t="s">
        <v>85</v>
      </c>
      <c r="R48" s="1918"/>
      <c r="S48" s="1918"/>
      <c r="T48" s="1945">
        <f t="shared" si="24"/>
        <v>0</v>
      </c>
      <c r="U48" s="1946">
        <f t="shared" si="25"/>
        <v>0</v>
      </c>
      <c r="V48" s="1957">
        <f t="shared" si="26"/>
        <v>0</v>
      </c>
      <c r="W48" s="1956">
        <f t="shared" si="12"/>
        <v>37</v>
      </c>
    </row>
    <row r="49" spans="1:23" ht="16.5" hidden="1">
      <c r="A49" s="706">
        <f t="shared" si="15"/>
        <v>38</v>
      </c>
      <c r="B49" s="1955" t="str">
        <f t="shared" si="16"/>
        <v>1A1</v>
      </c>
      <c r="C49" s="1955" t="str">
        <f t="shared" si="17"/>
        <v>Energía</v>
      </c>
      <c r="D49" s="1955" t="str">
        <f t="shared" si="18"/>
        <v>Industrias de la energía</v>
      </c>
      <c r="E49" s="1955" t="str">
        <f t="shared" si="19"/>
        <v>CH4</v>
      </c>
      <c r="F49" s="1918">
        <f t="shared" si="20"/>
        <v>0</v>
      </c>
      <c r="G49" s="1918">
        <f t="shared" si="21"/>
        <v>0</v>
      </c>
      <c r="H49" s="1918">
        <f t="shared" si="22"/>
        <v>0</v>
      </c>
      <c r="I49" s="1917"/>
      <c r="J49" s="1919">
        <f t="shared" si="23"/>
        <v>0</v>
      </c>
      <c r="K49" s="1920">
        <f t="shared" si="14"/>
        <v>0</v>
      </c>
      <c r="L49" s="1921"/>
      <c r="M49" s="1915">
        <v>38</v>
      </c>
      <c r="N49" s="1922" t="s">
        <v>2151</v>
      </c>
      <c r="O49" s="610" t="s">
        <v>2148</v>
      </c>
      <c r="P49" s="1923" t="s">
        <v>2152</v>
      </c>
      <c r="Q49" s="1924" t="s">
        <v>84</v>
      </c>
      <c r="R49" s="1918"/>
      <c r="S49" s="1918"/>
      <c r="T49" s="1945">
        <f t="shared" si="24"/>
        <v>0</v>
      </c>
      <c r="U49" s="1946">
        <f t="shared" si="25"/>
        <v>0</v>
      </c>
      <c r="V49" s="1957">
        <f t="shared" si="26"/>
        <v>0</v>
      </c>
      <c r="W49" s="1956">
        <f t="shared" si="12"/>
        <v>37</v>
      </c>
    </row>
    <row r="50" spans="1:23" ht="16.5" hidden="1">
      <c r="A50" s="706">
        <f t="shared" si="15"/>
        <v>39</v>
      </c>
      <c r="B50" s="1955" t="str">
        <f t="shared" si="16"/>
        <v>1A5</v>
      </c>
      <c r="C50" s="1955" t="str">
        <f t="shared" si="17"/>
        <v>Energía</v>
      </c>
      <c r="D50" s="1955" t="str">
        <f t="shared" si="18"/>
        <v>No especificado</v>
      </c>
      <c r="E50" s="1955" t="str">
        <f t="shared" si="19"/>
        <v>CH4</v>
      </c>
      <c r="F50" s="1918">
        <f t="shared" si="20"/>
        <v>0</v>
      </c>
      <c r="G50" s="1918">
        <f t="shared" si="21"/>
        <v>0</v>
      </c>
      <c r="H50" s="1918">
        <f t="shared" si="22"/>
        <v>0</v>
      </c>
      <c r="I50" s="1917"/>
      <c r="J50" s="1919">
        <f t="shared" si="23"/>
        <v>0</v>
      </c>
      <c r="K50" s="1920">
        <f t="shared" si="14"/>
        <v>0</v>
      </c>
      <c r="L50" s="1921"/>
      <c r="M50" s="1915">
        <v>39</v>
      </c>
      <c r="N50" s="1922" t="s">
        <v>2156</v>
      </c>
      <c r="O50" s="610" t="s">
        <v>2148</v>
      </c>
      <c r="P50" s="1923" t="s">
        <v>2157</v>
      </c>
      <c r="Q50" s="1924" t="s">
        <v>84</v>
      </c>
      <c r="R50" s="1918"/>
      <c r="S50" s="1918"/>
      <c r="T50" s="1945">
        <f t="shared" si="24"/>
        <v>0</v>
      </c>
      <c r="U50" s="1946">
        <f t="shared" si="25"/>
        <v>0</v>
      </c>
      <c r="V50" s="1957">
        <f t="shared" si="26"/>
        <v>0</v>
      </c>
      <c r="W50" s="1956">
        <f t="shared" si="12"/>
        <v>37</v>
      </c>
    </row>
    <row r="51" spans="1:23" ht="16.5" hidden="1">
      <c r="A51" s="706">
        <f t="shared" si="15"/>
        <v>40</v>
      </c>
      <c r="B51" s="1955" t="str">
        <f t="shared" si="16"/>
        <v>4A</v>
      </c>
      <c r="C51" s="1955" t="str">
        <f t="shared" si="17"/>
        <v>Desechos</v>
      </c>
      <c r="D51" s="1955" t="str">
        <f t="shared" si="18"/>
        <v>Eliminación de desechos sólidos</v>
      </c>
      <c r="E51" s="1955" t="str">
        <f t="shared" si="19"/>
        <v>CH4</v>
      </c>
      <c r="F51" s="1918">
        <f t="shared" si="20"/>
        <v>0</v>
      </c>
      <c r="G51" s="1918">
        <f t="shared" si="21"/>
        <v>0</v>
      </c>
      <c r="H51" s="1918">
        <f t="shared" si="22"/>
        <v>0</v>
      </c>
      <c r="I51" s="1917"/>
      <c r="J51" s="1919">
        <f t="shared" si="23"/>
        <v>0</v>
      </c>
      <c r="K51" s="1920">
        <f t="shared" si="14"/>
        <v>0</v>
      </c>
      <c r="L51" s="1921"/>
      <c r="M51" s="1915">
        <v>40</v>
      </c>
      <c r="N51" s="1922" t="s">
        <v>2160</v>
      </c>
      <c r="O51" s="610" t="s">
        <v>2165</v>
      </c>
      <c r="P51" s="1923" t="s">
        <v>2161</v>
      </c>
      <c r="Q51" s="1924" t="s">
        <v>84</v>
      </c>
      <c r="R51" s="1918"/>
      <c r="S51" s="1918"/>
      <c r="T51" s="1945">
        <f t="shared" si="24"/>
        <v>0</v>
      </c>
      <c r="U51" s="1946">
        <f t="shared" si="25"/>
        <v>0</v>
      </c>
      <c r="V51" s="1957">
        <f t="shared" si="26"/>
        <v>0</v>
      </c>
      <c r="W51" s="1956">
        <f t="shared" si="12"/>
        <v>37</v>
      </c>
    </row>
    <row r="52" spans="1:23" ht="16.5" hidden="1">
      <c r="A52" s="706">
        <f t="shared" si="15"/>
        <v>41</v>
      </c>
      <c r="B52" s="1955" t="str">
        <f t="shared" si="16"/>
        <v>4B</v>
      </c>
      <c r="C52" s="1955" t="str">
        <f t="shared" si="17"/>
        <v>Desechos</v>
      </c>
      <c r="D52" s="1955" t="str">
        <f t="shared" si="18"/>
        <v>Tratamiento biológico de los desechos sólidos</v>
      </c>
      <c r="E52" s="1955" t="str">
        <f t="shared" si="19"/>
        <v>CH4, N2O</v>
      </c>
      <c r="F52" s="1918">
        <f t="shared" si="20"/>
        <v>0</v>
      </c>
      <c r="G52" s="1918">
        <f t="shared" si="21"/>
        <v>0</v>
      </c>
      <c r="H52" s="1918">
        <f t="shared" si="22"/>
        <v>0</v>
      </c>
      <c r="I52" s="1917"/>
      <c r="J52" s="1919">
        <f t="shared" si="23"/>
        <v>0</v>
      </c>
      <c r="K52" s="1920">
        <f t="shared" si="14"/>
        <v>0</v>
      </c>
      <c r="L52" s="1921"/>
      <c r="M52" s="1915">
        <v>41</v>
      </c>
      <c r="N52" s="1922" t="s">
        <v>2187</v>
      </c>
      <c r="O52" s="610" t="s">
        <v>2165</v>
      </c>
      <c r="P52" s="1923" t="s">
        <v>2188</v>
      </c>
      <c r="Q52" s="1924" t="s">
        <v>1080</v>
      </c>
      <c r="R52" s="1918"/>
      <c r="S52" s="1918"/>
      <c r="T52" s="1945">
        <f t="shared" si="24"/>
        <v>0</v>
      </c>
      <c r="U52" s="1946">
        <f t="shared" si="25"/>
        <v>0</v>
      </c>
      <c r="V52" s="1957">
        <f t="shared" si="26"/>
        <v>0</v>
      </c>
      <c r="W52" s="1956">
        <f t="shared" si="12"/>
        <v>37</v>
      </c>
    </row>
    <row r="53" spans="1:23" ht="16.5" hidden="1">
      <c r="A53" s="706">
        <f t="shared" si="15"/>
        <v>42</v>
      </c>
      <c r="B53" s="1955" t="str">
        <f t="shared" si="16"/>
        <v>4D1</v>
      </c>
      <c r="C53" s="1955" t="str">
        <f t="shared" si="17"/>
        <v>Desechos</v>
      </c>
      <c r="D53" s="1955" t="str">
        <f t="shared" si="18"/>
        <v>Tratamiento y eliminación de aguas residuales domésticas</v>
      </c>
      <c r="E53" s="1955" t="str">
        <f t="shared" si="19"/>
        <v>CH4, N2O</v>
      </c>
      <c r="F53" s="1918">
        <f t="shared" si="20"/>
        <v>0</v>
      </c>
      <c r="G53" s="1918">
        <f t="shared" si="21"/>
        <v>0</v>
      </c>
      <c r="H53" s="1918">
        <f t="shared" si="22"/>
        <v>0</v>
      </c>
      <c r="I53" s="1917"/>
      <c r="J53" s="1919">
        <f t="shared" si="23"/>
        <v>0</v>
      </c>
      <c r="K53" s="1920">
        <f t="shared" si="14"/>
        <v>0</v>
      </c>
      <c r="L53" s="1921"/>
      <c r="M53" s="1915">
        <v>42</v>
      </c>
      <c r="N53" s="1922" t="s">
        <v>2177</v>
      </c>
      <c r="O53" s="610" t="s">
        <v>2165</v>
      </c>
      <c r="P53" s="1923" t="s">
        <v>2178</v>
      </c>
      <c r="Q53" s="1924" t="s">
        <v>1080</v>
      </c>
      <c r="R53" s="1918"/>
      <c r="S53" s="1918"/>
      <c r="T53" s="1945">
        <f t="shared" si="24"/>
        <v>0</v>
      </c>
      <c r="U53" s="1946">
        <f t="shared" si="25"/>
        <v>0</v>
      </c>
      <c r="V53" s="1957">
        <f t="shared" si="26"/>
        <v>0</v>
      </c>
      <c r="W53" s="1956">
        <f t="shared" si="12"/>
        <v>37</v>
      </c>
    </row>
    <row r="54" spans="1:23" ht="19" hidden="1" customHeight="1">
      <c r="A54" s="706">
        <f t="shared" si="15"/>
        <v>43</v>
      </c>
      <c r="B54" s="1955" t="str">
        <f t="shared" si="16"/>
        <v>4D2</v>
      </c>
      <c r="C54" s="1955" t="str">
        <f t="shared" si="17"/>
        <v>Desechos</v>
      </c>
      <c r="D54" s="1955" t="str">
        <f t="shared" si="18"/>
        <v xml:space="preserve">Tratamiento y eliminación de aguas residuales industriales </v>
      </c>
      <c r="E54" s="1955" t="str">
        <f t="shared" si="19"/>
        <v>CH4</v>
      </c>
      <c r="F54" s="1918">
        <f t="shared" si="20"/>
        <v>0</v>
      </c>
      <c r="G54" s="1918">
        <f t="shared" si="21"/>
        <v>0</v>
      </c>
      <c r="H54" s="1918">
        <f t="shared" si="22"/>
        <v>0</v>
      </c>
      <c r="I54" s="1917"/>
      <c r="J54" s="1919">
        <f t="shared" si="23"/>
        <v>0</v>
      </c>
      <c r="K54" s="1920">
        <f t="shared" si="14"/>
        <v>0</v>
      </c>
      <c r="L54" s="1921"/>
      <c r="M54" s="1915">
        <v>43</v>
      </c>
      <c r="N54" s="1922" t="s">
        <v>2166</v>
      </c>
      <c r="O54" s="610" t="s">
        <v>2165</v>
      </c>
      <c r="P54" s="1923" t="s">
        <v>2167</v>
      </c>
      <c r="Q54" s="1924" t="s">
        <v>84</v>
      </c>
      <c r="R54" s="1918"/>
      <c r="S54" s="1918"/>
      <c r="T54" s="1945">
        <f t="shared" si="24"/>
        <v>0</v>
      </c>
      <c r="U54" s="1946">
        <f t="shared" si="25"/>
        <v>0</v>
      </c>
      <c r="V54" s="1957">
        <f t="shared" si="26"/>
        <v>0</v>
      </c>
      <c r="W54" s="1956">
        <f t="shared" si="12"/>
        <v>37</v>
      </c>
    </row>
    <row r="55" spans="1:23" ht="16.5">
      <c r="A55" s="706">
        <f t="shared" si="15"/>
        <v>46</v>
      </c>
      <c r="B55" s="1955" t="str">
        <f t="shared" si="16"/>
        <v>3A1</v>
      </c>
      <c r="C55" s="1955" t="str">
        <f t="shared" si="17"/>
        <v>Agricultura</v>
      </c>
      <c r="D55" s="1955" t="str">
        <f t="shared" si="18"/>
        <v>Fermentación Entérica - Emisiones de CH4 Ganado no lechero Toros</v>
      </c>
      <c r="E55" s="1955" t="str">
        <f t="shared" si="19"/>
        <v>CH4</v>
      </c>
      <c r="F55" s="1918">
        <f t="shared" si="20"/>
        <v>589.46665068395157</v>
      </c>
      <c r="G55" s="1918">
        <f t="shared" si="21"/>
        <v>589.46665068395157</v>
      </c>
      <c r="H55" s="1918">
        <f t="shared" si="22"/>
        <v>589.46665068395157</v>
      </c>
      <c r="I55" s="1917"/>
      <c r="J55" s="1919">
        <f t="shared" si="23"/>
        <v>5.0398994421437616E-2</v>
      </c>
      <c r="K55" s="1920">
        <f>K78+J55</f>
        <v>5.2231183802242939E-2</v>
      </c>
      <c r="L55" s="1921"/>
      <c r="M55" s="1915">
        <v>46</v>
      </c>
      <c r="N55" s="1922" t="s">
        <v>680</v>
      </c>
      <c r="O55" s="610" t="s">
        <v>315</v>
      </c>
      <c r="P55" s="1923" t="s">
        <v>918</v>
      </c>
      <c r="Q55" s="1924" t="s">
        <v>84</v>
      </c>
      <c r="R55" s="1918">
        <v>1247.1965110723643</v>
      </c>
      <c r="S55" s="1918">
        <f t="shared" ref="S55:S90" si="27">SUMIF($P$106:$P$199,$P55,$S$106:$S$199)</f>
        <v>589.46665068395157</v>
      </c>
      <c r="T55" s="1945">
        <f t="shared" si="24"/>
        <v>0.43771339343437538</v>
      </c>
      <c r="U55" s="1946">
        <f t="shared" si="25"/>
        <v>0.19211907165606174</v>
      </c>
      <c r="V55" s="1959">
        <f t="shared" si="26"/>
        <v>0.19211907165606174</v>
      </c>
      <c r="W55" s="1958">
        <f t="shared" ref="W55:W90" si="28">RANK(T55,T$12:T$90)</f>
        <v>1</v>
      </c>
    </row>
    <row r="56" spans="1:23" ht="16.5">
      <c r="A56" s="706">
        <f t="shared" si="15"/>
        <v>47</v>
      </c>
      <c r="B56" s="1955" t="str">
        <f t="shared" si="16"/>
        <v>3A1</v>
      </c>
      <c r="C56" s="1955" t="str">
        <f t="shared" si="17"/>
        <v>Agricultura</v>
      </c>
      <c r="D56" s="1955" t="str">
        <f t="shared" si="18"/>
        <v>Fermentación Entérica - Emisiones de CH4 Ganado no lechero en crecimiento</v>
      </c>
      <c r="E56" s="1955" t="str">
        <f t="shared" si="19"/>
        <v>CH4</v>
      </c>
      <c r="F56" s="1918">
        <f t="shared" si="20"/>
        <v>3062.854939556943</v>
      </c>
      <c r="G56" s="1918">
        <f t="shared" si="21"/>
        <v>3062.854939556943</v>
      </c>
      <c r="H56" s="1918">
        <f t="shared" si="22"/>
        <v>3062.854939556943</v>
      </c>
      <c r="I56" s="1917"/>
      <c r="J56" s="1919">
        <f t="shared" si="23"/>
        <v>0.26187199705580505</v>
      </c>
      <c r="K56" s="1920">
        <f ca="1">K80+J56</f>
        <v>0.78897956372994082</v>
      </c>
      <c r="L56" s="1921"/>
      <c r="M56" s="1915">
        <v>47</v>
      </c>
      <c r="N56" s="1922" t="s">
        <v>680</v>
      </c>
      <c r="O56" s="610" t="s">
        <v>315</v>
      </c>
      <c r="P56" s="1923" t="s">
        <v>920</v>
      </c>
      <c r="Q56" s="1924" t="s">
        <v>84</v>
      </c>
      <c r="R56" s="1918">
        <v>3335.7368406002197</v>
      </c>
      <c r="S56" s="1918">
        <f>SUMIF($P$106:$P$199,$P56,$S$106:$S$199)</f>
        <v>3062.854939556943</v>
      </c>
      <c r="T56" s="1945">
        <f t="shared" si="24"/>
        <v>0.18160048692625894</v>
      </c>
      <c r="U56" s="1946">
        <f t="shared" si="25"/>
        <v>7.9707218202342708E-2</v>
      </c>
      <c r="V56" s="1959">
        <f t="shared" si="26"/>
        <v>0.27182628985840446</v>
      </c>
      <c r="W56" s="1958">
        <f t="shared" si="28"/>
        <v>6</v>
      </c>
    </row>
    <row r="57" spans="1:23" ht="16.5">
      <c r="A57" s="706">
        <f t="shared" si="15"/>
        <v>48</v>
      </c>
      <c r="B57" s="1955" t="str">
        <f t="shared" si="16"/>
        <v>3A1</v>
      </c>
      <c r="C57" s="1955" t="str">
        <f t="shared" si="17"/>
        <v>Agricultura</v>
      </c>
      <c r="D57" s="1955" t="str">
        <f t="shared" si="18"/>
        <v>Fermentación Entérica - Emisiones de CH4 Resto de Categorias de Ganado (No Bovinos)</v>
      </c>
      <c r="E57" s="1955" t="str">
        <f t="shared" si="19"/>
        <v>CH4</v>
      </c>
      <c r="F57" s="1918">
        <f t="shared" si="20"/>
        <v>304.50301987705376</v>
      </c>
      <c r="G57" s="1918">
        <f t="shared" si="21"/>
        <v>304.50301987705376</v>
      </c>
      <c r="H57" s="1918">
        <f t="shared" si="22"/>
        <v>304.50301987705376</v>
      </c>
      <c r="I57" s="1917"/>
      <c r="J57" s="1919">
        <f t="shared" si="23"/>
        <v>2.603479939414384E-2</v>
      </c>
      <c r="K57" s="1920">
        <f>K82+J57</f>
        <v>2.6492157086925282E-2</v>
      </c>
      <c r="L57" s="1921"/>
      <c r="M57" s="1915">
        <v>48</v>
      </c>
      <c r="N57" s="1922" t="s">
        <v>680</v>
      </c>
      <c r="O57" s="610" t="s">
        <v>315</v>
      </c>
      <c r="P57" s="1923" t="s">
        <v>921</v>
      </c>
      <c r="Q57" s="1924" t="s">
        <v>84</v>
      </c>
      <c r="R57" s="1918">
        <v>719.43176492800001</v>
      </c>
      <c r="S57" s="1918">
        <f t="shared" si="27"/>
        <v>304.50301987705376</v>
      </c>
      <c r="T57" s="1945">
        <f t="shared" si="24"/>
        <v>0.27613140282617477</v>
      </c>
      <c r="U57" s="1946">
        <f t="shared" si="25"/>
        <v>0.12119827622776251</v>
      </c>
      <c r="V57" s="1959">
        <f t="shared" si="26"/>
        <v>0.39302456608616698</v>
      </c>
      <c r="W57" s="1958">
        <f t="shared" si="28"/>
        <v>3</v>
      </c>
    </row>
    <row r="58" spans="1:23" ht="16.5">
      <c r="A58" s="706">
        <f t="shared" si="15"/>
        <v>71</v>
      </c>
      <c r="B58" s="1955" t="str">
        <f t="shared" si="16"/>
        <v>3C4</v>
      </c>
      <c r="C58" s="1955" t="str">
        <f t="shared" si="17"/>
        <v>Agricultura</v>
      </c>
      <c r="D58" s="1955" t="str">
        <f t="shared" si="18"/>
        <v>Suelos Agrícolas - Emisiones Directas N2O Fertilizantes sintéticos</v>
      </c>
      <c r="E58" s="1955" t="str">
        <f t="shared" si="19"/>
        <v>N2O</v>
      </c>
      <c r="F58" s="1918">
        <f t="shared" si="20"/>
        <v>795.11499398332921</v>
      </c>
      <c r="G58" s="1918">
        <f t="shared" si="21"/>
        <v>795.11499398332921</v>
      </c>
      <c r="H58" s="1918">
        <f t="shared" si="22"/>
        <v>795.11499398332921</v>
      </c>
      <c r="I58" s="1917"/>
      <c r="J58" s="1919">
        <f t="shared" si="23"/>
        <v>6.7981786755316798E-2</v>
      </c>
      <c r="K58" s="1920">
        <f>K62+J58</f>
        <v>0.15831639124972485</v>
      </c>
      <c r="L58" s="1921"/>
      <c r="M58" s="1915">
        <v>71</v>
      </c>
      <c r="N58" s="1922" t="s">
        <v>129</v>
      </c>
      <c r="O58" s="610" t="s">
        <v>315</v>
      </c>
      <c r="P58" s="1923" t="s">
        <v>939</v>
      </c>
      <c r="Q58" s="1924" t="s">
        <v>85</v>
      </c>
      <c r="R58" s="1918">
        <v>254.9916272802576</v>
      </c>
      <c r="S58" s="1918">
        <f t="shared" si="27"/>
        <v>795.11499398332921</v>
      </c>
      <c r="T58" s="1945">
        <f t="shared" si="24"/>
        <v>0.35944731408908071</v>
      </c>
      <c r="U58" s="1946">
        <f t="shared" si="25"/>
        <v>0.15776689799283561</v>
      </c>
      <c r="V58" s="1959">
        <f t="shared" si="26"/>
        <v>0.55079146407900259</v>
      </c>
      <c r="W58" s="1958">
        <f t="shared" si="28"/>
        <v>2</v>
      </c>
    </row>
    <row r="59" spans="1:23" ht="16.5">
      <c r="A59" s="706">
        <f t="shared" si="15"/>
        <v>44</v>
      </c>
      <c r="B59" s="1955" t="str">
        <f t="shared" si="16"/>
        <v>3A1</v>
      </c>
      <c r="C59" s="1955" t="str">
        <f t="shared" si="17"/>
        <v>Agricultura</v>
      </c>
      <c r="D59" s="1955" t="str">
        <f t="shared" si="18"/>
        <v>Fermentación Entérica - Emisiones de CH4 Ganado lechero</v>
      </c>
      <c r="E59" s="1955" t="str">
        <f t="shared" si="19"/>
        <v>CH4</v>
      </c>
      <c r="F59" s="1918">
        <f t="shared" si="20"/>
        <v>2191.1986997326208</v>
      </c>
      <c r="G59" s="1918">
        <f t="shared" si="21"/>
        <v>2191.1986997326208</v>
      </c>
      <c r="H59" s="1918">
        <f t="shared" si="22"/>
        <v>2191.1986997326208</v>
      </c>
      <c r="I59" s="1917"/>
      <c r="J59" s="1919">
        <f t="shared" si="23"/>
        <v>0.1873459862673319</v>
      </c>
      <c r="K59" s="1920">
        <f>K58+J59</f>
        <v>0.34566237751705675</v>
      </c>
      <c r="L59" s="1921"/>
      <c r="M59" s="1915">
        <v>44</v>
      </c>
      <c r="N59" s="1922" t="s">
        <v>680</v>
      </c>
      <c r="O59" s="610" t="s">
        <v>315</v>
      </c>
      <c r="P59" s="1923" t="s">
        <v>917</v>
      </c>
      <c r="Q59" s="1924" t="s">
        <v>84</v>
      </c>
      <c r="R59" s="1918">
        <v>2484.6149519465362</v>
      </c>
      <c r="S59" s="1918">
        <f t="shared" si="27"/>
        <v>2191.1986997326208</v>
      </c>
      <c r="T59" s="1945">
        <f t="shared" si="24"/>
        <v>0.19526591565951668</v>
      </c>
      <c r="U59" s="1946">
        <f t="shared" si="25"/>
        <v>8.5705182901152324E-2</v>
      </c>
      <c r="V59" s="1959">
        <f t="shared" si="26"/>
        <v>0.63649664698015496</v>
      </c>
      <c r="W59" s="1958">
        <f t="shared" si="28"/>
        <v>5</v>
      </c>
    </row>
    <row r="60" spans="1:23" ht="16.5">
      <c r="A60" s="706">
        <f t="shared" si="15"/>
        <v>45</v>
      </c>
      <c r="B60" s="1955" t="str">
        <f t="shared" si="16"/>
        <v>3A1</v>
      </c>
      <c r="C60" s="1955" t="str">
        <f t="shared" si="17"/>
        <v>Agricultura</v>
      </c>
      <c r="D60" s="1955" t="str">
        <f t="shared" si="18"/>
        <v>Fermentación Entérica - Emisiones de CH4 Ganado no lechero vacas</v>
      </c>
      <c r="E60" s="1955" t="str">
        <f t="shared" si="19"/>
        <v>CH4</v>
      </c>
      <c r="F60" s="1918">
        <f t="shared" si="20"/>
        <v>1743.6007263510746</v>
      </c>
      <c r="G60" s="1918">
        <f t="shared" si="21"/>
        <v>1743.6007263510746</v>
      </c>
      <c r="H60" s="1918">
        <f t="shared" si="22"/>
        <v>1743.6007263510746</v>
      </c>
      <c r="I60" s="1917"/>
      <c r="J60" s="1919">
        <f t="shared" si="23"/>
        <v>0.1490766664723461</v>
      </c>
      <c r="K60" s="1920">
        <f>K59+J60</f>
        <v>0.49473904398940283</v>
      </c>
      <c r="L60" s="1921"/>
      <c r="M60" s="1915">
        <v>45</v>
      </c>
      <c r="N60" s="1922" t="s">
        <v>680</v>
      </c>
      <c r="O60" s="610" t="s">
        <v>315</v>
      </c>
      <c r="P60" s="1923" t="s">
        <v>2205</v>
      </c>
      <c r="Q60" s="1924" t="s">
        <v>84</v>
      </c>
      <c r="R60" s="1918">
        <v>1927.2185726208756</v>
      </c>
      <c r="S60" s="1918">
        <f t="shared" si="27"/>
        <v>1743.6007263510746</v>
      </c>
      <c r="T60" s="1945">
        <f t="shared" si="24"/>
        <v>0.12219604951249069</v>
      </c>
      <c r="U60" s="1946">
        <f t="shared" si="25"/>
        <v>5.3633706312204855E-2</v>
      </c>
      <c r="V60" s="1959">
        <f t="shared" si="26"/>
        <v>0.69013035329235983</v>
      </c>
      <c r="W60" s="1958">
        <f t="shared" si="28"/>
        <v>7</v>
      </c>
    </row>
    <row r="61" spans="1:23" ht="16.5">
      <c r="A61" s="706">
        <f t="shared" si="15"/>
        <v>53</v>
      </c>
      <c r="B61" s="1955" t="str">
        <f t="shared" si="16"/>
        <v>3A3</v>
      </c>
      <c r="C61" s="1955" t="str">
        <f t="shared" si="17"/>
        <v>Agricultura</v>
      </c>
      <c r="D61" s="1955" t="str">
        <f t="shared" si="18"/>
        <v>Manejo de Estiercol - Emisiones de CH4 Ganado porcino</v>
      </c>
      <c r="E61" s="1955" t="str">
        <f t="shared" si="19"/>
        <v>CH4</v>
      </c>
      <c r="F61" s="1918">
        <f t="shared" si="20"/>
        <v>198.82632455524379</v>
      </c>
      <c r="G61" s="1918">
        <f t="shared" si="21"/>
        <v>198.82632455524379</v>
      </c>
      <c r="H61" s="1918"/>
      <c r="I61" s="1917"/>
      <c r="J61" s="1919"/>
      <c r="K61" s="1920"/>
      <c r="L61" s="1921"/>
      <c r="M61" s="1915">
        <v>53</v>
      </c>
      <c r="N61" s="1922" t="s">
        <v>2199</v>
      </c>
      <c r="O61" s="610" t="s">
        <v>315</v>
      </c>
      <c r="P61" s="1923" t="s">
        <v>2198</v>
      </c>
      <c r="Q61" s="1924" t="s">
        <v>84</v>
      </c>
      <c r="R61" s="1918">
        <v>306.47787019992012</v>
      </c>
      <c r="S61" s="1918">
        <f t="shared" si="27"/>
        <v>198.82632455524379</v>
      </c>
      <c r="T61" s="1945">
        <f t="shared" si="24"/>
        <v>7.1641149642743138E-2</v>
      </c>
      <c r="U61" s="1946">
        <f t="shared" si="25"/>
        <v>3.1444391165974993E-2</v>
      </c>
      <c r="V61" s="1959">
        <f t="shared" si="26"/>
        <v>0.7215747444583348</v>
      </c>
      <c r="W61" s="1958">
        <f t="shared" si="28"/>
        <v>10</v>
      </c>
    </row>
    <row r="62" spans="1:23" ht="16.5">
      <c r="A62" s="706">
        <f t="shared" si="15"/>
        <v>76</v>
      </c>
      <c r="B62" s="1955" t="str">
        <f t="shared" si="16"/>
        <v>3C7</v>
      </c>
      <c r="C62" s="1955" t="str">
        <f t="shared" si="17"/>
        <v>Agricultura</v>
      </c>
      <c r="D62" s="1955" t="str">
        <f t="shared" si="18"/>
        <v>Cultivo de Arroz - Emisiones de CH4</v>
      </c>
      <c r="E62" s="1955" t="str">
        <f t="shared" si="19"/>
        <v>CH4</v>
      </c>
      <c r="F62" s="1918">
        <f t="shared" si="20"/>
        <v>1056.5535555512622</v>
      </c>
      <c r="G62" s="1918">
        <f t="shared" si="21"/>
        <v>1056.5535555512622</v>
      </c>
      <c r="H62" s="1918">
        <f>ABS(F62)</f>
        <v>1056.5535555512622</v>
      </c>
      <c r="I62" s="1917"/>
      <c r="J62" s="1919">
        <f>IFERROR(H62/$H$93,"faltan datos")</f>
        <v>9.0334604494408041E-2</v>
      </c>
      <c r="K62" s="1920">
        <f>K33+J62</f>
        <v>9.0334604494408041E-2</v>
      </c>
      <c r="L62" s="1921"/>
      <c r="M62" s="1915">
        <v>76</v>
      </c>
      <c r="N62" s="1922" t="s">
        <v>202</v>
      </c>
      <c r="O62" s="610" t="s">
        <v>315</v>
      </c>
      <c r="P62" s="1923" t="s">
        <v>938</v>
      </c>
      <c r="Q62" s="1924" t="s">
        <v>84</v>
      </c>
      <c r="R62" s="1918">
        <v>1362.1280101602804</v>
      </c>
      <c r="S62" s="1918">
        <f t="shared" si="27"/>
        <v>1056.5535555512622</v>
      </c>
      <c r="T62" s="1945">
        <f t="shared" si="24"/>
        <v>0.20335709161020205</v>
      </c>
      <c r="U62" s="1946">
        <f t="shared" si="25"/>
        <v>8.9256523197264556E-2</v>
      </c>
      <c r="V62" s="1959">
        <f t="shared" si="26"/>
        <v>0.81083126765559932</v>
      </c>
      <c r="W62" s="1958">
        <f t="shared" si="28"/>
        <v>4</v>
      </c>
    </row>
    <row r="63" spans="1:23" ht="16.5">
      <c r="A63" s="706">
        <f t="shared" si="15"/>
        <v>72</v>
      </c>
      <c r="B63" s="1955" t="str">
        <f t="shared" si="16"/>
        <v>3C5</v>
      </c>
      <c r="C63" s="1955" t="str">
        <f t="shared" si="17"/>
        <v>Agricultura</v>
      </c>
      <c r="D63" s="1955" t="str">
        <f t="shared" si="18"/>
        <v>Suelos Agrícolas - Emisiones Directas N2O Fertilizantes orgánicos</v>
      </c>
      <c r="E63" s="1955" t="str">
        <f t="shared" si="19"/>
        <v>N2O</v>
      </c>
      <c r="F63" s="1918">
        <f t="shared" si="20"/>
        <v>132.33896300747745</v>
      </c>
      <c r="G63" s="1918">
        <f t="shared" si="21"/>
        <v>132.33896300747745</v>
      </c>
      <c r="H63" s="1918"/>
      <c r="I63" s="1917"/>
      <c r="J63" s="1919"/>
      <c r="K63" s="1920"/>
      <c r="L63" s="1921"/>
      <c r="M63" s="1915">
        <v>72</v>
      </c>
      <c r="N63" s="1922" t="s">
        <v>161</v>
      </c>
      <c r="O63" s="610" t="s">
        <v>315</v>
      </c>
      <c r="P63" s="1923" t="s">
        <v>2206</v>
      </c>
      <c r="Q63" s="1924" t="s">
        <v>85</v>
      </c>
      <c r="R63" s="1918">
        <v>82.379506309579668</v>
      </c>
      <c r="S63" s="1918">
        <f t="shared" si="27"/>
        <v>132.33896300747745</v>
      </c>
      <c r="T63" s="1945">
        <f t="shared" si="24"/>
        <v>3.3247575702980536E-2</v>
      </c>
      <c r="U63" s="1946">
        <f t="shared" si="25"/>
        <v>1.4592867101355687E-2</v>
      </c>
      <c r="V63" s="1959">
        <f t="shared" si="26"/>
        <v>0.82542413475695497</v>
      </c>
      <c r="W63" s="1958">
        <f t="shared" si="28"/>
        <v>13</v>
      </c>
    </row>
    <row r="64" spans="1:23" ht="16.5">
      <c r="A64" s="706">
        <f t="shared" si="15"/>
        <v>59</v>
      </c>
      <c r="B64" s="1955" t="str">
        <f t="shared" si="16"/>
        <v>3A3</v>
      </c>
      <c r="C64" s="1955" t="str">
        <f t="shared" si="17"/>
        <v>Agricultura</v>
      </c>
      <c r="D64" s="1955" t="str">
        <f t="shared" si="18"/>
        <v>Manejo de Estiercol - Emisiones Directas de N2O Ganado porcino</v>
      </c>
      <c r="E64" s="1955" t="str">
        <f t="shared" si="19"/>
        <v>N2O</v>
      </c>
      <c r="F64" s="1918">
        <f t="shared" si="20"/>
        <v>101.10138272994969</v>
      </c>
      <c r="G64" s="1918">
        <f t="shared" si="21"/>
        <v>101.10138272994969</v>
      </c>
      <c r="H64" s="1918"/>
      <c r="I64" s="1917"/>
      <c r="J64" s="1919"/>
      <c r="K64" s="1920"/>
      <c r="L64" s="1921"/>
      <c r="M64" s="1915">
        <v>59</v>
      </c>
      <c r="N64" s="1922" t="s">
        <v>2199</v>
      </c>
      <c r="O64" s="610" t="s">
        <v>315</v>
      </c>
      <c r="P64" s="1923" t="s">
        <v>2201</v>
      </c>
      <c r="Q64" s="1924" t="s">
        <v>85</v>
      </c>
      <c r="R64" s="1918">
        <v>165.26779483500002</v>
      </c>
      <c r="S64" s="1918">
        <f t="shared" si="27"/>
        <v>101.10138272994969</v>
      </c>
      <c r="T64" s="1945">
        <f t="shared" si="24"/>
        <v>4.2702178627596579E-2</v>
      </c>
      <c r="U64" s="1946">
        <f t="shared" si="25"/>
        <v>1.8742636251671274E-2</v>
      </c>
      <c r="V64" s="1959">
        <f t="shared" si="26"/>
        <v>0.84416677100862625</v>
      </c>
      <c r="W64" s="1958">
        <f t="shared" si="28"/>
        <v>12</v>
      </c>
    </row>
    <row r="65" spans="1:23" ht="16.5">
      <c r="A65" s="706">
        <f t="shared" si="15"/>
        <v>75</v>
      </c>
      <c r="B65" s="1955" t="str">
        <f t="shared" si="16"/>
        <v>3C5</v>
      </c>
      <c r="C65" s="1955" t="str">
        <f t="shared" si="17"/>
        <v>Agricultura</v>
      </c>
      <c r="D65" s="1955" t="str">
        <f t="shared" si="18"/>
        <v>Suelos Agrícolas - Emisiones Indirectas N2O Volatilización</v>
      </c>
      <c r="E65" s="1955" t="str">
        <f t="shared" si="19"/>
        <v>N2O</v>
      </c>
      <c r="F65" s="1918">
        <f t="shared" si="20"/>
        <v>524.95558067329853</v>
      </c>
      <c r="G65" s="1918">
        <f t="shared" si="21"/>
        <v>524.95558067329853</v>
      </c>
      <c r="H65" s="1918">
        <f>ABS(F65)</f>
        <v>524.95558067329853</v>
      </c>
      <c r="I65" s="1917"/>
      <c r="J65" s="1919">
        <f>IFERROR(H65/$H$93,"faltan datos")</f>
        <v>4.4883342172382587E-2</v>
      </c>
      <c r="K65" s="1920">
        <f>K64+J65</f>
        <v>4.4883342172382587E-2</v>
      </c>
      <c r="L65" s="1921"/>
      <c r="M65" s="1915">
        <v>75</v>
      </c>
      <c r="N65" s="1922" t="s">
        <v>161</v>
      </c>
      <c r="O65" s="610" t="s">
        <v>315</v>
      </c>
      <c r="P65" s="1923" t="s">
        <v>943</v>
      </c>
      <c r="Q65" s="1924" t="s">
        <v>85</v>
      </c>
      <c r="R65" s="1918">
        <v>414.91531047305926</v>
      </c>
      <c r="S65" s="1918">
        <f t="shared" si="27"/>
        <v>524.95558067329853</v>
      </c>
      <c r="T65" s="1945">
        <f t="shared" si="24"/>
        <v>7.3230824666130429E-2</v>
      </c>
      <c r="U65" s="1946">
        <f t="shared" si="25"/>
        <v>3.2142123733241712E-2</v>
      </c>
      <c r="V65" s="1959">
        <f t="shared" si="26"/>
        <v>0.87630889474186802</v>
      </c>
      <c r="W65" s="1958">
        <f t="shared" si="28"/>
        <v>9</v>
      </c>
    </row>
    <row r="66" spans="1:23" ht="16.5">
      <c r="A66" s="706">
        <f t="shared" si="15"/>
        <v>70</v>
      </c>
      <c r="B66" s="1955" t="str">
        <f t="shared" si="16"/>
        <v>3C4</v>
      </c>
      <c r="C66" s="1955" t="str">
        <f t="shared" si="17"/>
        <v>Agricultura</v>
      </c>
      <c r="D66" s="1955" t="str">
        <f t="shared" si="18"/>
        <v>Suelos Agrícolas - Emisiones Directas N2O Orina y estiércol en suelos</v>
      </c>
      <c r="E66" s="1955" t="str">
        <f t="shared" si="19"/>
        <v>N2O</v>
      </c>
      <c r="F66" s="1918">
        <f t="shared" si="20"/>
        <v>230.1457292739795</v>
      </c>
      <c r="G66" s="1918">
        <f t="shared" si="21"/>
        <v>230.1457292739795</v>
      </c>
      <c r="H66" s="1918">
        <f>ABS(F66)</f>
        <v>230.1457292739795</v>
      </c>
      <c r="I66" s="1917"/>
      <c r="J66" s="1919">
        <f>IFERROR(H66/$H$93,"faltan datos")</f>
        <v>1.9677302036236764E-2</v>
      </c>
      <c r="K66" s="1920">
        <f>K42+J66</f>
        <v>1.9677302036236764E-2</v>
      </c>
      <c r="L66" s="1921"/>
      <c r="M66" s="1915">
        <v>70</v>
      </c>
      <c r="N66" s="1922" t="s">
        <v>129</v>
      </c>
      <c r="O66" s="610" t="s">
        <v>315</v>
      </c>
      <c r="P66" s="1923" t="s">
        <v>942</v>
      </c>
      <c r="Q66" s="1924" t="s">
        <v>85</v>
      </c>
      <c r="R66" s="1918">
        <v>311.75846750803368</v>
      </c>
      <c r="S66" s="1918">
        <f t="shared" si="27"/>
        <v>230.1457292739795</v>
      </c>
      <c r="T66" s="1945">
        <f t="shared" si="24"/>
        <v>5.4312554061029798E-2</v>
      </c>
      <c r="U66" s="1946">
        <f t="shared" si="25"/>
        <v>2.3838606773267743E-2</v>
      </c>
      <c r="V66" s="1959">
        <f t="shared" si="26"/>
        <v>0.90014750151513578</v>
      </c>
      <c r="W66" s="1958">
        <f t="shared" si="28"/>
        <v>11</v>
      </c>
    </row>
    <row r="67" spans="1:23" ht="16.5">
      <c r="A67" s="706">
        <f t="shared" si="15"/>
        <v>73</v>
      </c>
      <c r="B67" s="1955" t="str">
        <f t="shared" si="16"/>
        <v>3C4</v>
      </c>
      <c r="C67" s="1955" t="str">
        <f t="shared" si="17"/>
        <v>Agricultura</v>
      </c>
      <c r="D67" s="1955" t="str">
        <f t="shared" si="18"/>
        <v>Suelos Agrícolas - Emisiones Directas N2O Residuos Agrícolas</v>
      </c>
      <c r="E67" s="1955" t="str">
        <f t="shared" si="19"/>
        <v>N2O</v>
      </c>
      <c r="F67" s="1918">
        <f t="shared" si="20"/>
        <v>401.10512625950338</v>
      </c>
      <c r="G67" s="1918">
        <f t="shared" si="21"/>
        <v>401.10512625950338</v>
      </c>
      <c r="H67" s="1918">
        <f>ABS(F67)</f>
        <v>401.10512625950338</v>
      </c>
      <c r="I67" s="1917"/>
      <c r="J67" s="1919">
        <f>IFERROR(H67/$H$93,"faltan datos")</f>
        <v>3.4294213247360407E-2</v>
      </c>
      <c r="K67" s="1920">
        <f>K70+J67</f>
        <v>3.4294213247360407E-2</v>
      </c>
      <c r="L67" s="1921"/>
      <c r="M67" s="1915">
        <v>73</v>
      </c>
      <c r="N67" s="1922" t="s">
        <v>129</v>
      </c>
      <c r="O67" s="610" t="s">
        <v>315</v>
      </c>
      <c r="P67" s="1923" t="s">
        <v>941</v>
      </c>
      <c r="Q67" s="1924" t="s">
        <v>85</v>
      </c>
      <c r="R67" s="1918">
        <v>353.38027561842205</v>
      </c>
      <c r="S67" s="1918">
        <f t="shared" si="27"/>
        <v>401.10512625950338</v>
      </c>
      <c r="T67" s="1945">
        <f t="shared" si="24"/>
        <v>3.1760465174745553E-2</v>
      </c>
      <c r="U67" s="1946">
        <f t="shared" si="25"/>
        <v>1.3940151652342827E-2</v>
      </c>
      <c r="V67" s="1959">
        <f t="shared" si="26"/>
        <v>0.91408765316747864</v>
      </c>
      <c r="W67" s="1958">
        <f t="shared" si="28"/>
        <v>14</v>
      </c>
    </row>
    <row r="68" spans="1:23" ht="16.5">
      <c r="A68" s="706">
        <f t="shared" si="15"/>
        <v>60</v>
      </c>
      <c r="B68" s="1955" t="str">
        <f t="shared" si="16"/>
        <v>3A3</v>
      </c>
      <c r="C68" s="1955" t="str">
        <f t="shared" si="17"/>
        <v>Agricultura</v>
      </c>
      <c r="D68" s="1955" t="str">
        <f t="shared" si="18"/>
        <v>Manejo de Estiercol - Emisiones Directas de N2O Ganado avicola</v>
      </c>
      <c r="E68" s="1955" t="str">
        <f t="shared" si="19"/>
        <v>N2O</v>
      </c>
      <c r="F68" s="1918">
        <f t="shared" si="20"/>
        <v>126.95648766691207</v>
      </c>
      <c r="G68" s="1918">
        <f t="shared" si="21"/>
        <v>126.95648766691207</v>
      </c>
      <c r="H68" s="1918"/>
      <c r="I68" s="1917"/>
      <c r="J68" s="1919"/>
      <c r="K68" s="1920"/>
      <c r="L68" s="1921"/>
      <c r="M68" s="1915">
        <v>60</v>
      </c>
      <c r="N68" s="1922" t="s">
        <v>2199</v>
      </c>
      <c r="O68" s="610" t="s">
        <v>315</v>
      </c>
      <c r="P68" s="1923" t="s">
        <v>2200</v>
      </c>
      <c r="Q68" s="1924" t="s">
        <v>85</v>
      </c>
      <c r="R68" s="1918">
        <v>83.052402318453446</v>
      </c>
      <c r="S68" s="1918">
        <f t="shared" si="27"/>
        <v>126.95648766691207</v>
      </c>
      <c r="T68" s="1945">
        <f t="shared" si="24"/>
        <v>2.9217779731267952E-2</v>
      </c>
      <c r="U68" s="1946">
        <f t="shared" si="25"/>
        <v>1.2824128304093291E-2</v>
      </c>
      <c r="V68" s="1959">
        <f t="shared" si="26"/>
        <v>0.92691178147157194</v>
      </c>
      <c r="W68" s="1958">
        <f t="shared" si="28"/>
        <v>15</v>
      </c>
    </row>
    <row r="69" spans="1:23" ht="16.5">
      <c r="A69" s="706">
        <f t="shared" si="15"/>
        <v>78</v>
      </c>
      <c r="B69" s="1955" t="str">
        <f t="shared" si="16"/>
        <v>3C3</v>
      </c>
      <c r="C69" s="1955" t="str">
        <f t="shared" si="17"/>
        <v>Agricultura</v>
      </c>
      <c r="D69" s="1955" t="str">
        <f t="shared" si="18"/>
        <v>Fertilización de urea: Emisiones anuales de CO2</v>
      </c>
      <c r="E69" s="1955" t="str">
        <f t="shared" si="19"/>
        <v>CO2</v>
      </c>
      <c r="F69" s="1918">
        <f t="shared" si="20"/>
        <v>208.83837333333335</v>
      </c>
      <c r="G69" s="1918">
        <f t="shared" si="21"/>
        <v>208.83837333333335</v>
      </c>
      <c r="H69" s="1918">
        <f>ABS(F69)</f>
        <v>208.83837333333335</v>
      </c>
      <c r="I69" s="1917"/>
      <c r="J69" s="1919">
        <f>IFERROR(H69/$H$93,"faltan datos")</f>
        <v>1.7855537714298937E-2</v>
      </c>
      <c r="K69" s="1920">
        <f>K39+J69</f>
        <v>1.7855537714298937E-2</v>
      </c>
      <c r="L69" s="1921"/>
      <c r="M69" s="1915">
        <v>78</v>
      </c>
      <c r="N69" s="1922" t="s">
        <v>104</v>
      </c>
      <c r="O69" s="610" t="s">
        <v>315</v>
      </c>
      <c r="P69" s="1923" t="s">
        <v>854</v>
      </c>
      <c r="Q69" s="1924" t="s">
        <v>83</v>
      </c>
      <c r="R69" s="1918">
        <v>97.782993733333342</v>
      </c>
      <c r="S69" s="1918">
        <f t="shared" si="27"/>
        <v>208.83837333333335</v>
      </c>
      <c r="T69" s="1945">
        <f t="shared" si="24"/>
        <v>7.3906370975999988E-2</v>
      </c>
      <c r="U69" s="1946">
        <f t="shared" si="25"/>
        <v>3.2438631292433587E-2</v>
      </c>
      <c r="V69" s="1959">
        <f t="shared" si="26"/>
        <v>0.95935041276400557</v>
      </c>
      <c r="W69" s="1958">
        <f t="shared" si="28"/>
        <v>8</v>
      </c>
    </row>
    <row r="70" spans="1:23" ht="16.5">
      <c r="A70" s="706">
        <f t="shared" si="15"/>
        <v>66</v>
      </c>
      <c r="B70" s="1955" t="str">
        <f t="shared" si="16"/>
        <v>3C7</v>
      </c>
      <c r="C70" s="1955" t="str">
        <f t="shared" si="17"/>
        <v>Agricultura</v>
      </c>
      <c r="D70" s="1955" t="str">
        <f t="shared" si="18"/>
        <v>Manejo de Estiercol - Emisiones Indirectas de N2O Ganado porcino</v>
      </c>
      <c r="E70" s="1955" t="str">
        <f t="shared" si="19"/>
        <v>N2O</v>
      </c>
      <c r="F70" s="1918">
        <f t="shared" si="20"/>
        <v>36.588590409968795</v>
      </c>
      <c r="G70" s="1918">
        <f t="shared" si="21"/>
        <v>36.588590409968795</v>
      </c>
      <c r="H70" s="1918"/>
      <c r="I70" s="1917"/>
      <c r="J70" s="1919"/>
      <c r="K70" s="1920"/>
      <c r="L70" s="1921"/>
      <c r="M70" s="1915">
        <v>66</v>
      </c>
      <c r="N70" s="1922" t="s">
        <v>202</v>
      </c>
      <c r="O70" s="610" t="s">
        <v>315</v>
      </c>
      <c r="P70" s="1923" t="s">
        <v>2202</v>
      </c>
      <c r="Q70" s="1924" t="s">
        <v>85</v>
      </c>
      <c r="R70" s="1918">
        <v>59.810414950786509</v>
      </c>
      <c r="S70" s="1918">
        <f t="shared" si="27"/>
        <v>36.588590409968795</v>
      </c>
      <c r="T70" s="1945">
        <f t="shared" si="24"/>
        <v>1.5453918445327203E-2</v>
      </c>
      <c r="U70" s="1946">
        <f t="shared" si="25"/>
        <v>6.7829600594798345E-3</v>
      </c>
      <c r="V70" s="1959">
        <f t="shared" si="26"/>
        <v>0.96613337282348544</v>
      </c>
      <c r="W70" s="1958">
        <f t="shared" si="28"/>
        <v>17</v>
      </c>
    </row>
    <row r="71" spans="1:23" ht="16.5">
      <c r="A71" s="706">
        <f t="shared" si="15"/>
        <v>61</v>
      </c>
      <c r="B71" s="1955" t="str">
        <f t="shared" si="16"/>
        <v>3A2</v>
      </c>
      <c r="C71" s="1955" t="str">
        <f t="shared" si="17"/>
        <v>Agricultura</v>
      </c>
      <c r="D71" s="1955" t="str">
        <f t="shared" si="18"/>
        <v>Manejo de Estiercol - Emisiones Directas de N2O Resto de Categorias de Ganado (No Bovinos)</v>
      </c>
      <c r="E71" s="1955" t="str">
        <f t="shared" si="19"/>
        <v>N2O</v>
      </c>
      <c r="F71" s="1918">
        <f t="shared" si="20"/>
        <v>13.183822810881072</v>
      </c>
      <c r="G71" s="1918">
        <f t="shared" si="21"/>
        <v>13.183822810881072</v>
      </c>
      <c r="H71" s="1918">
        <f>ABS(F71)</f>
        <v>13.183822810881072</v>
      </c>
      <c r="I71" s="1917"/>
      <c r="J71" s="1919">
        <f>IFERROR(H71/$H$93,"faltan datos")</f>
        <v>1.1272078098529604E-3</v>
      </c>
      <c r="K71" s="1920">
        <f>K88+J71</f>
        <v>1.6017401545454597E-3</v>
      </c>
      <c r="L71" s="1921"/>
      <c r="M71" s="1915">
        <v>61</v>
      </c>
      <c r="N71" s="1922" t="s">
        <v>110</v>
      </c>
      <c r="O71" s="610" t="s">
        <v>315</v>
      </c>
      <c r="P71" s="1923" t="s">
        <v>931</v>
      </c>
      <c r="Q71" s="1924" t="s">
        <v>85</v>
      </c>
      <c r="R71" s="1918">
        <v>31.852743998477695</v>
      </c>
      <c r="S71" s="1918">
        <f t="shared" si="27"/>
        <v>13.183822810881072</v>
      </c>
      <c r="T71" s="1945">
        <f t="shared" si="24"/>
        <v>1.2424001610564232E-2</v>
      </c>
      <c r="U71" s="1946">
        <f t="shared" si="25"/>
        <v>5.4530834365087173E-3</v>
      </c>
      <c r="V71" s="1959">
        <f t="shared" si="26"/>
        <v>0.97158645625999418</v>
      </c>
      <c r="W71" s="1958">
        <f t="shared" si="28"/>
        <v>18</v>
      </c>
    </row>
    <row r="72" spans="1:23" ht="16.5">
      <c r="A72" s="706">
        <f t="shared" si="15"/>
        <v>67</v>
      </c>
      <c r="B72" s="1955" t="str">
        <f t="shared" si="16"/>
        <v>3C8</v>
      </c>
      <c r="C72" s="1955" t="str">
        <f t="shared" si="17"/>
        <v>Agricultura</v>
      </c>
      <c r="D72" s="1955" t="str">
        <f t="shared" si="18"/>
        <v>Manejo de Estiercol - Emisiones Indirectas de N2O Ganado avicola</v>
      </c>
      <c r="E72" s="1955" t="str">
        <f t="shared" si="19"/>
        <v>N2O</v>
      </c>
      <c r="F72" s="1918">
        <f t="shared" si="20"/>
        <v>36.811864662076218</v>
      </c>
      <c r="G72" s="1918">
        <f t="shared" si="21"/>
        <v>36.811864662076218</v>
      </c>
      <c r="H72" s="1918"/>
      <c r="I72" s="1917"/>
      <c r="J72" s="1919"/>
      <c r="K72" s="1920"/>
      <c r="L72" s="1921"/>
      <c r="M72" s="1915">
        <v>67</v>
      </c>
      <c r="N72" s="1922" t="s">
        <v>2204</v>
      </c>
      <c r="O72" s="610" t="s">
        <v>315</v>
      </c>
      <c r="P72" s="1923" t="s">
        <v>2203</v>
      </c>
      <c r="Q72" s="1924" t="s">
        <v>85</v>
      </c>
      <c r="R72" s="1918">
        <v>24.872253489549809</v>
      </c>
      <c r="S72" s="1918">
        <f t="shared" si="27"/>
        <v>36.811864662076218</v>
      </c>
      <c r="T72" s="1945">
        <f t="shared" si="24"/>
        <v>7.9457054291670794E-3</v>
      </c>
      <c r="U72" s="1946">
        <f t="shared" si="25"/>
        <v>3.4874910697311667E-3</v>
      </c>
      <c r="V72" s="1959">
        <f t="shared" si="26"/>
        <v>0.9750739473297253</v>
      </c>
      <c r="W72" s="1958">
        <f t="shared" si="28"/>
        <v>20</v>
      </c>
    </row>
    <row r="73" spans="1:23" ht="16.5">
      <c r="A73" s="706">
        <f t="shared" si="15"/>
        <v>51</v>
      </c>
      <c r="B73" s="1955" t="str">
        <f t="shared" si="16"/>
        <v>3A2</v>
      </c>
      <c r="C73" s="1955" t="str">
        <f t="shared" si="17"/>
        <v>Agricultura</v>
      </c>
      <c r="D73" s="1955" t="str">
        <f t="shared" si="18"/>
        <v>Manejo de Estiercol - Emisiones de CH4 Ganado no lechero Toros</v>
      </c>
      <c r="E73" s="1955" t="str">
        <f t="shared" si="19"/>
        <v>CH4</v>
      </c>
      <c r="F73" s="1918">
        <f t="shared" si="20"/>
        <v>22.210179242005562</v>
      </c>
      <c r="G73" s="1918">
        <f t="shared" si="21"/>
        <v>22.210179242005562</v>
      </c>
      <c r="H73" s="1918">
        <f t="shared" ref="H73:H78" si="29">ABS(F73)</f>
        <v>22.210179242005562</v>
      </c>
      <c r="I73" s="1917"/>
      <c r="J73" s="1919">
        <f t="shared" ref="J73:J78" si="30">IFERROR(H73/$H$93,"faltan datos")</f>
        <v>1.8989550951155161E-3</v>
      </c>
      <c r="K73" s="1920">
        <f ca="1">K80+J73</f>
        <v>0.99584515573426891</v>
      </c>
      <c r="L73" s="1921"/>
      <c r="M73" s="1915">
        <v>51</v>
      </c>
      <c r="N73" s="1922" t="s">
        <v>110</v>
      </c>
      <c r="O73" s="610" t="s">
        <v>315</v>
      </c>
      <c r="P73" s="1923" t="s">
        <v>923</v>
      </c>
      <c r="Q73" s="1924" t="s">
        <v>84</v>
      </c>
      <c r="R73" s="1918">
        <v>36.629151516795652</v>
      </c>
      <c r="S73" s="1918">
        <f t="shared" si="27"/>
        <v>22.210179242005562</v>
      </c>
      <c r="T73" s="1945">
        <f t="shared" si="24"/>
        <v>9.5956982711830254E-3</v>
      </c>
      <c r="U73" s="1946">
        <f t="shared" si="25"/>
        <v>4.2116980458075711E-3</v>
      </c>
      <c r="V73" s="1959">
        <f t="shared" si="26"/>
        <v>0.97928564537553286</v>
      </c>
      <c r="W73" s="1958">
        <f t="shared" si="28"/>
        <v>19</v>
      </c>
    </row>
    <row r="74" spans="1:23" ht="16.5">
      <c r="A74" s="706">
        <f t="shared" si="15"/>
        <v>74</v>
      </c>
      <c r="B74" s="1955" t="str">
        <f t="shared" si="16"/>
        <v>3C5</v>
      </c>
      <c r="C74" s="1955" t="str">
        <f t="shared" si="17"/>
        <v>Agricultura</v>
      </c>
      <c r="D74" s="1955" t="str">
        <f t="shared" si="18"/>
        <v>Suelos Agrícolas - Emisiones Indirectas N2O Lixiviación</v>
      </c>
      <c r="E74" s="1955" t="str">
        <f t="shared" si="19"/>
        <v>N2O</v>
      </c>
      <c r="F74" s="1918">
        <f t="shared" si="20"/>
        <v>241.95147194348121</v>
      </c>
      <c r="G74" s="1918">
        <f t="shared" si="21"/>
        <v>241.95147194348121</v>
      </c>
      <c r="H74" s="1918">
        <f t="shared" si="29"/>
        <v>241.95147194348121</v>
      </c>
      <c r="I74" s="1917"/>
      <c r="J74" s="1919">
        <f t="shared" si="30"/>
        <v>2.0686684938985844E-2</v>
      </c>
      <c r="K74" s="1920">
        <f>K70+J74</f>
        <v>2.0686684938985844E-2</v>
      </c>
      <c r="L74" s="1921"/>
      <c r="M74" s="1915">
        <v>74</v>
      </c>
      <c r="N74" s="1922" t="s">
        <v>161</v>
      </c>
      <c r="O74" s="610" t="s">
        <v>315</v>
      </c>
      <c r="P74" s="1923" t="s">
        <v>944</v>
      </c>
      <c r="Q74" s="1924" t="s">
        <v>85</v>
      </c>
      <c r="R74" s="1918">
        <v>218.65791546636703</v>
      </c>
      <c r="S74" s="1918">
        <f t="shared" si="27"/>
        <v>241.95147194348121</v>
      </c>
      <c r="T74" s="1945">
        <f t="shared" si="24"/>
        <v>1.5501655413260212E-2</v>
      </c>
      <c r="U74" s="1946">
        <f t="shared" si="25"/>
        <v>6.8039125414018657E-3</v>
      </c>
      <c r="V74" s="1959">
        <f t="shared" si="26"/>
        <v>0.98608955791693476</v>
      </c>
      <c r="W74" s="1958">
        <f t="shared" si="28"/>
        <v>16</v>
      </c>
    </row>
    <row r="75" spans="1:23" ht="16.5">
      <c r="A75" s="706">
        <f t="shared" si="15"/>
        <v>54</v>
      </c>
      <c r="B75" s="1955" t="str">
        <f t="shared" si="16"/>
        <v>3A2</v>
      </c>
      <c r="C75" s="1955" t="str">
        <f t="shared" si="17"/>
        <v>Agricultura</v>
      </c>
      <c r="D75" s="1955" t="str">
        <f t="shared" si="18"/>
        <v>Manejo de Estiercol - Emisiones de CH4 Resto de Categorias de Ganado (No Bovinos)</v>
      </c>
      <c r="E75" s="1955" t="str">
        <f t="shared" si="19"/>
        <v>CH4</v>
      </c>
      <c r="F75" s="1918">
        <f t="shared" si="20"/>
        <v>28.003465529596127</v>
      </c>
      <c r="G75" s="1918">
        <f t="shared" si="21"/>
        <v>28.003465529596127</v>
      </c>
      <c r="H75" s="1918">
        <f t="shared" si="29"/>
        <v>28.003465529596127</v>
      </c>
      <c r="I75" s="1917"/>
      <c r="J75" s="1919">
        <f t="shared" si="30"/>
        <v>2.3942771001030615E-3</v>
      </c>
      <c r="K75" s="1920">
        <f>K82+J75</f>
        <v>2.851634792884505E-3</v>
      </c>
      <c r="L75" s="1921"/>
      <c r="M75" s="1915">
        <v>54</v>
      </c>
      <c r="N75" s="1922" t="s">
        <v>110</v>
      </c>
      <c r="O75" s="610" t="s">
        <v>315</v>
      </c>
      <c r="P75" s="1923" t="s">
        <v>926</v>
      </c>
      <c r="Q75" s="1924" t="s">
        <v>84</v>
      </c>
      <c r="R75" s="1918">
        <v>37.78689768677814</v>
      </c>
      <c r="S75" s="1918">
        <f t="shared" si="27"/>
        <v>28.003465529596127</v>
      </c>
      <c r="T75" s="1945">
        <f t="shared" si="24"/>
        <v>6.5107874020289384E-3</v>
      </c>
      <c r="U75" s="1946">
        <f t="shared" si="25"/>
        <v>2.8576837039721885E-3</v>
      </c>
      <c r="V75" s="1959">
        <f t="shared" si="26"/>
        <v>0.98894724162090697</v>
      </c>
      <c r="W75" s="1958">
        <f t="shared" si="28"/>
        <v>22</v>
      </c>
    </row>
    <row r="76" spans="1:23" ht="16.5">
      <c r="A76" s="706">
        <f t="shared" ref="A76:A90" si="31">M76</f>
        <v>52</v>
      </c>
      <c r="B76" s="1955" t="str">
        <f t="shared" ref="B76:B90" si="32">N76</f>
        <v>3A2</v>
      </c>
      <c r="C76" s="1955" t="str">
        <f t="shared" ref="C76:C90" si="33">O76</f>
        <v>Agricultura</v>
      </c>
      <c r="D76" s="1955" t="str">
        <f t="shared" ref="D76:D90" si="34">P76</f>
        <v>Manejo de Estiercol - Emisiones de CH4 Ganado no lechero en crecimiento</v>
      </c>
      <c r="E76" s="1955" t="str">
        <f t="shared" ref="E76:E90" si="35">Q76</f>
        <v>CH4</v>
      </c>
      <c r="F76" s="1918">
        <f t="shared" ref="F76:F90" si="36">S76</f>
        <v>86.694174979910471</v>
      </c>
      <c r="G76" s="1918">
        <f t="shared" ref="G76:G90" si="37">S76</f>
        <v>86.694174979910471</v>
      </c>
      <c r="H76" s="1918">
        <f t="shared" si="29"/>
        <v>86.694174979910471</v>
      </c>
      <c r="I76" s="1917"/>
      <c r="J76" s="1919">
        <f t="shared" si="30"/>
        <v>7.4122925124160887E-3</v>
      </c>
      <c r="K76" s="1920">
        <f>K78+J76</f>
        <v>9.2444818932214123E-3</v>
      </c>
      <c r="L76" s="1921"/>
      <c r="M76" s="1915">
        <v>52</v>
      </c>
      <c r="N76" s="1922" t="s">
        <v>110</v>
      </c>
      <c r="O76" s="610" t="s">
        <v>315</v>
      </c>
      <c r="P76" s="1923" t="s">
        <v>925</v>
      </c>
      <c r="Q76" s="1924" t="s">
        <v>84</v>
      </c>
      <c r="R76" s="1918">
        <v>85.63211466070652</v>
      </c>
      <c r="S76" s="1918">
        <f t="shared" si="27"/>
        <v>86.694174979910471</v>
      </c>
      <c r="T76" s="1945">
        <f t="shared" ref="T76:T90" si="38">ABS((S76-R76)/(S$93-R$93))</f>
        <v>7.0679173069051549E-4</v>
      </c>
      <c r="U76" s="1946">
        <f t="shared" ref="U76:U90" si="39">T76/T$93</f>
        <v>3.1022165003685503E-4</v>
      </c>
      <c r="V76" s="1959">
        <f t="shared" si="26"/>
        <v>0.98925746327094377</v>
      </c>
      <c r="W76" s="1958">
        <f t="shared" si="28"/>
        <v>31</v>
      </c>
    </row>
    <row r="77" spans="1:23" ht="16.5">
      <c r="A77" s="706">
        <f t="shared" si="31"/>
        <v>50</v>
      </c>
      <c r="B77" s="1955" t="str">
        <f t="shared" si="32"/>
        <v>3A2</v>
      </c>
      <c r="C77" s="1955" t="str">
        <f t="shared" si="33"/>
        <v>Agricultura</v>
      </c>
      <c r="D77" s="1955" t="str">
        <f t="shared" si="34"/>
        <v>Manejo de Estiercol - Emisiones de CH4 Ganado no lechero vacas</v>
      </c>
      <c r="E77" s="1955" t="str">
        <f t="shared" si="35"/>
        <v>CH4</v>
      </c>
      <c r="F77" s="1918">
        <f t="shared" si="36"/>
        <v>82.894503321989475</v>
      </c>
      <c r="G77" s="1918">
        <f t="shared" si="37"/>
        <v>82.894503321989475</v>
      </c>
      <c r="H77" s="1918">
        <f t="shared" si="29"/>
        <v>82.894503321989475</v>
      </c>
      <c r="I77" s="1917"/>
      <c r="J77" s="1919">
        <f t="shared" si="30"/>
        <v>7.0874231911938279E-3</v>
      </c>
      <c r="K77" s="1920">
        <f>K95+J77</f>
        <v>7.0874231911938279E-3</v>
      </c>
      <c r="L77" s="1921"/>
      <c r="M77" s="1915">
        <v>50</v>
      </c>
      <c r="N77" s="1922" t="s">
        <v>110</v>
      </c>
      <c r="O77" s="610" t="s">
        <v>315</v>
      </c>
      <c r="P77" s="1923" t="s">
        <v>2197</v>
      </c>
      <c r="Q77" s="1924" t="s">
        <v>84</v>
      </c>
      <c r="R77" s="1918">
        <v>84.167935118605968</v>
      </c>
      <c r="S77" s="1918">
        <f t="shared" si="27"/>
        <v>82.894503321989475</v>
      </c>
      <c r="T77" s="1945">
        <f t="shared" si="38"/>
        <v>8.4745757578206181E-4</v>
      </c>
      <c r="U77" s="1946">
        <f t="shared" si="39"/>
        <v>3.7196203079300144E-4</v>
      </c>
      <c r="V77" s="1959">
        <f t="shared" ref="V77:V90" si="40">U77+V76</f>
        <v>0.98962942530173681</v>
      </c>
      <c r="W77" s="1958">
        <f t="shared" si="28"/>
        <v>30</v>
      </c>
    </row>
    <row r="78" spans="1:23" ht="16.5">
      <c r="A78" s="706">
        <f t="shared" si="31"/>
        <v>77</v>
      </c>
      <c r="B78" s="1955" t="str">
        <f t="shared" si="32"/>
        <v>3C2</v>
      </c>
      <c r="C78" s="1955" t="str">
        <f t="shared" si="33"/>
        <v>Agricultura</v>
      </c>
      <c r="D78" s="1955" t="str">
        <f t="shared" si="34"/>
        <v>Encalado - Emisiones de CO2</v>
      </c>
      <c r="E78" s="1955" t="str">
        <f t="shared" si="35"/>
        <v>CO2</v>
      </c>
      <c r="F78" s="1918">
        <f t="shared" si="36"/>
        <v>21.429287431628282</v>
      </c>
      <c r="G78" s="1918">
        <f t="shared" si="37"/>
        <v>21.429287431628282</v>
      </c>
      <c r="H78" s="1918">
        <f t="shared" si="29"/>
        <v>21.429287431628282</v>
      </c>
      <c r="I78" s="1917"/>
      <c r="J78" s="1919">
        <f t="shared" si="30"/>
        <v>1.8321893808053234E-3</v>
      </c>
      <c r="K78" s="1920">
        <f>K51+J78</f>
        <v>1.8321893808053234E-3</v>
      </c>
      <c r="L78" s="1921"/>
      <c r="M78" s="1915">
        <v>77</v>
      </c>
      <c r="N78" s="1922" t="s">
        <v>259</v>
      </c>
      <c r="O78" s="610" t="s">
        <v>315</v>
      </c>
      <c r="P78" s="1923" t="s">
        <v>945</v>
      </c>
      <c r="Q78" s="1924" t="s">
        <v>83</v>
      </c>
      <c r="R78" s="1918">
        <v>11.635595764490555</v>
      </c>
      <c r="S78" s="1918">
        <f t="shared" si="27"/>
        <v>21.429287431628282</v>
      </c>
      <c r="T78" s="1945">
        <f t="shared" si="38"/>
        <v>6.5176150149869961E-3</v>
      </c>
      <c r="U78" s="1946">
        <f t="shared" si="39"/>
        <v>2.8606804472357129E-3</v>
      </c>
      <c r="V78" s="1959">
        <f t="shared" si="40"/>
        <v>0.99249010574897256</v>
      </c>
      <c r="W78" s="1958">
        <f t="shared" si="28"/>
        <v>21</v>
      </c>
    </row>
    <row r="79" spans="1:23" ht="16.5">
      <c r="A79" s="706">
        <f t="shared" si="31"/>
        <v>79</v>
      </c>
      <c r="B79" s="1955" t="str">
        <f t="shared" si="32"/>
        <v>3C1</v>
      </c>
      <c r="C79" s="1955" t="str">
        <f t="shared" si="33"/>
        <v>Agricultura</v>
      </c>
      <c r="D79" s="1955" t="str">
        <f t="shared" si="34"/>
        <v>Quema de biomasa</v>
      </c>
      <c r="E79" s="1955" t="str">
        <f t="shared" si="35"/>
        <v>CO2</v>
      </c>
      <c r="F79" s="1918">
        <f t="shared" si="36"/>
        <v>54.640362730948411</v>
      </c>
      <c r="G79" s="1918">
        <f t="shared" si="37"/>
        <v>54.640362730948411</v>
      </c>
      <c r="H79" s="1918"/>
      <c r="I79" s="1917"/>
      <c r="J79" s="1919"/>
      <c r="K79" s="1920"/>
      <c r="L79" s="1921"/>
      <c r="M79" s="1915">
        <v>79</v>
      </c>
      <c r="N79" s="1922" t="s">
        <v>1079</v>
      </c>
      <c r="O79" s="610" t="s">
        <v>315</v>
      </c>
      <c r="P79" s="1923" t="s">
        <v>2196</v>
      </c>
      <c r="Q79" s="1924" t="s">
        <v>83</v>
      </c>
      <c r="R79" s="1918">
        <v>49.516385291428854</v>
      </c>
      <c r="S79" s="1918">
        <f t="shared" si="27"/>
        <v>54.640362730948411</v>
      </c>
      <c r="T79" s="1945">
        <f t="shared" si="38"/>
        <v>3.4099615784644694E-3</v>
      </c>
      <c r="U79" s="1946">
        <f t="shared" si="39"/>
        <v>1.4966840463739479E-3</v>
      </c>
      <c r="V79" s="1959">
        <f t="shared" si="40"/>
        <v>0.99398678979534649</v>
      </c>
      <c r="W79" s="1958">
        <f t="shared" si="28"/>
        <v>24</v>
      </c>
    </row>
    <row r="80" spans="1:23" ht="16.5">
      <c r="A80" s="706">
        <f t="shared" si="31"/>
        <v>49</v>
      </c>
      <c r="B80" s="1955" t="str">
        <f t="shared" si="32"/>
        <v>3A2</v>
      </c>
      <c r="C80" s="1955" t="str">
        <f t="shared" si="33"/>
        <v>Agricultura</v>
      </c>
      <c r="D80" s="1955" t="str">
        <f t="shared" si="34"/>
        <v>Manejo de Estiercol - Emisiones de CH4 Ganado lechero</v>
      </c>
      <c r="E80" s="1955" t="str">
        <f t="shared" si="35"/>
        <v>CH4</v>
      </c>
      <c r="F80" s="1918">
        <f t="shared" si="36"/>
        <v>24.462393235374918</v>
      </c>
      <c r="G80" s="1918">
        <f t="shared" si="37"/>
        <v>24.462393235374918</v>
      </c>
      <c r="H80" s="1918">
        <f t="shared" ref="H80:H90" si="41">ABS(F80)</f>
        <v>24.462393235374918</v>
      </c>
      <c r="I80" s="1917"/>
      <c r="J80" s="1919">
        <f t="shared" ref="J80:J90" si="42">IFERROR(H80/$H$93,"faltan datos")</f>
        <v>2.0915178471490742E-3</v>
      </c>
      <c r="K80" s="1920">
        <f ca="1">K83+J80</f>
        <v>0.98422865707868323</v>
      </c>
      <c r="L80" s="1921"/>
      <c r="M80" s="1915">
        <v>49</v>
      </c>
      <c r="N80" s="1922" t="s">
        <v>110</v>
      </c>
      <c r="O80" s="610" t="s">
        <v>315</v>
      </c>
      <c r="P80" s="1923" t="s">
        <v>922</v>
      </c>
      <c r="Q80" s="1924" t="s">
        <v>84</v>
      </c>
      <c r="R80" s="1918">
        <v>26.503966519793948</v>
      </c>
      <c r="S80" s="1918">
        <f t="shared" si="27"/>
        <v>24.462393235374918</v>
      </c>
      <c r="T80" s="1945">
        <f t="shared" si="38"/>
        <v>1.3586489288175245E-3</v>
      </c>
      <c r="U80" s="1946">
        <f t="shared" si="39"/>
        <v>5.9633169746737375E-4</v>
      </c>
      <c r="V80" s="1959">
        <f t="shared" si="40"/>
        <v>0.99458312149281392</v>
      </c>
      <c r="W80" s="1958">
        <f t="shared" si="28"/>
        <v>28</v>
      </c>
    </row>
    <row r="81" spans="1:23" ht="16.5">
      <c r="A81" s="706">
        <f t="shared" si="31"/>
        <v>68</v>
      </c>
      <c r="B81" s="1955" t="str">
        <f t="shared" si="32"/>
        <v>3C6</v>
      </c>
      <c r="C81" s="1955" t="str">
        <f t="shared" si="33"/>
        <v>Agricultura</v>
      </c>
      <c r="D81" s="1955" t="str">
        <f t="shared" si="34"/>
        <v>Manejo de Estiercol - Emisiones Indirectas de N2O Resto de Categorias de Ganado (No Bovinos)</v>
      </c>
      <c r="E81" s="1955" t="str">
        <f t="shared" si="35"/>
        <v>N2O</v>
      </c>
      <c r="F81" s="1918">
        <f t="shared" si="36"/>
        <v>2.0352051169910088</v>
      </c>
      <c r="G81" s="1918">
        <f t="shared" si="37"/>
        <v>2.0352051169910088</v>
      </c>
      <c r="H81" s="1918">
        <f t="shared" si="41"/>
        <v>2.0352051169910088</v>
      </c>
      <c r="I81" s="1917"/>
      <c r="J81" s="1919">
        <f t="shared" si="42"/>
        <v>1.740086419116292E-4</v>
      </c>
      <c r="K81" s="1920">
        <f>K62+J81</f>
        <v>9.0508613136319666E-2</v>
      </c>
      <c r="L81" s="1921"/>
      <c r="M81" s="1915">
        <v>68</v>
      </c>
      <c r="N81" s="1922" t="s">
        <v>127</v>
      </c>
      <c r="O81" s="610" t="s">
        <v>315</v>
      </c>
      <c r="P81" s="1923" t="s">
        <v>937</v>
      </c>
      <c r="Q81" s="1924" t="s">
        <v>85</v>
      </c>
      <c r="R81" s="1918">
        <v>4.9150734544654258</v>
      </c>
      <c r="S81" s="1918">
        <f t="shared" si="27"/>
        <v>2.0352051169910088</v>
      </c>
      <c r="T81" s="1945">
        <f t="shared" si="38"/>
        <v>1.916526857843639E-3</v>
      </c>
      <c r="U81" s="1946">
        <f t="shared" si="39"/>
        <v>8.4119281305024057E-4</v>
      </c>
      <c r="V81" s="1959">
        <f t="shared" si="40"/>
        <v>0.9954243143058642</v>
      </c>
      <c r="W81" s="1958">
        <f t="shared" si="28"/>
        <v>26</v>
      </c>
    </row>
    <row r="82" spans="1:23" ht="16.5">
      <c r="A82" s="706">
        <f t="shared" si="31"/>
        <v>57</v>
      </c>
      <c r="B82" s="1955" t="str">
        <f t="shared" si="32"/>
        <v>3A2</v>
      </c>
      <c r="C82" s="1955" t="str">
        <f t="shared" si="33"/>
        <v>Agricultura</v>
      </c>
      <c r="D82" s="1955" t="str">
        <f t="shared" si="34"/>
        <v>Manejo de Estiercol - Emisiones Directas de N2O Ganado no lechero Toros</v>
      </c>
      <c r="E82" s="1955" t="str">
        <f t="shared" si="35"/>
        <v>N2O</v>
      </c>
      <c r="F82" s="1918">
        <f t="shared" si="36"/>
        <v>1.6812468323809404</v>
      </c>
      <c r="G82" s="1918">
        <f t="shared" si="37"/>
        <v>1.6812468323809404</v>
      </c>
      <c r="H82" s="1918">
        <f t="shared" si="41"/>
        <v>1.6812468323809404</v>
      </c>
      <c r="I82" s="1917"/>
      <c r="J82" s="1919">
        <f t="shared" si="42"/>
        <v>1.437454512955258E-4</v>
      </c>
      <c r="K82" s="1920">
        <f>K89+J82</f>
        <v>4.5735769278144346E-4</v>
      </c>
      <c r="L82" s="1921"/>
      <c r="M82" s="1915">
        <v>57</v>
      </c>
      <c r="N82" s="1922" t="s">
        <v>110</v>
      </c>
      <c r="O82" s="610" t="s">
        <v>315</v>
      </c>
      <c r="P82" s="1923" t="s">
        <v>928</v>
      </c>
      <c r="Q82" s="1924" t="s">
        <v>85</v>
      </c>
      <c r="R82" s="1918">
        <v>3.7667696434626285</v>
      </c>
      <c r="S82" s="1918">
        <f t="shared" si="27"/>
        <v>1.6812468323809404</v>
      </c>
      <c r="T82" s="1945">
        <f t="shared" si="38"/>
        <v>1.3878969493407013E-3</v>
      </c>
      <c r="U82" s="1946">
        <f t="shared" si="39"/>
        <v>6.0916909891538913E-4</v>
      </c>
      <c r="V82" s="1959">
        <f t="shared" si="40"/>
        <v>0.9960334834047796</v>
      </c>
      <c r="W82" s="1958">
        <f t="shared" si="28"/>
        <v>27</v>
      </c>
    </row>
    <row r="83" spans="1:23" ht="16.5">
      <c r="A83" s="706">
        <f t="shared" si="31"/>
        <v>55</v>
      </c>
      <c r="B83" s="1955" t="str">
        <f t="shared" si="32"/>
        <v>3A2</v>
      </c>
      <c r="C83" s="1955" t="str">
        <f t="shared" si="33"/>
        <v>Agricultura</v>
      </c>
      <c r="D83" s="1955" t="str">
        <f t="shared" si="34"/>
        <v>Manejo de Estiercol - Emisiones Directas de N2O Ganado lechero</v>
      </c>
      <c r="E83" s="1955" t="str">
        <f t="shared" si="35"/>
        <v>N2O</v>
      </c>
      <c r="F83" s="1918">
        <f t="shared" si="36"/>
        <v>23.215372188513612</v>
      </c>
      <c r="G83" s="1918">
        <f t="shared" si="37"/>
        <v>23.215372188513612</v>
      </c>
      <c r="H83" s="1918">
        <f t="shared" si="41"/>
        <v>23.215372188513612</v>
      </c>
      <c r="I83" s="1917"/>
      <c r="J83" s="1919">
        <f t="shared" si="42"/>
        <v>1.9848984027559849E-3</v>
      </c>
      <c r="K83" s="1920">
        <f ca="1">K84+J83</f>
        <v>0.99830395083179302</v>
      </c>
      <c r="L83" s="1921"/>
      <c r="M83" s="1915">
        <v>55</v>
      </c>
      <c r="N83" s="1922" t="s">
        <v>110</v>
      </c>
      <c r="O83" s="610" t="s">
        <v>315</v>
      </c>
      <c r="P83" s="1923" t="s">
        <v>927</v>
      </c>
      <c r="Q83" s="1924" t="s">
        <v>85</v>
      </c>
      <c r="R83" s="1918">
        <v>26.245297412079783</v>
      </c>
      <c r="S83" s="1918">
        <f t="shared" si="27"/>
        <v>23.215372188513612</v>
      </c>
      <c r="T83" s="1945">
        <f t="shared" si="38"/>
        <v>2.0163883857673209E-3</v>
      </c>
      <c r="U83" s="1946">
        <f t="shared" si="39"/>
        <v>8.8502355784039288E-4</v>
      </c>
      <c r="V83" s="1959">
        <f t="shared" si="40"/>
        <v>0.99691850696261997</v>
      </c>
      <c r="W83" s="1958">
        <f t="shared" si="28"/>
        <v>25</v>
      </c>
    </row>
    <row r="84" spans="1:23" ht="16.5">
      <c r="A84" s="706">
        <f t="shared" si="31"/>
        <v>64</v>
      </c>
      <c r="B84" s="1955" t="str">
        <f t="shared" si="32"/>
        <v>3C6</v>
      </c>
      <c r="C84" s="1955" t="str">
        <f t="shared" si="33"/>
        <v>Agricultura</v>
      </c>
      <c r="D84" s="1955" t="str">
        <f t="shared" si="34"/>
        <v>Manejo de Estiercol - Emisiones Indirectas de N2O Ganado no lechero Toros</v>
      </c>
      <c r="E84" s="1955" t="str">
        <f t="shared" si="35"/>
        <v>N2O</v>
      </c>
      <c r="F84" s="1918">
        <f t="shared" si="36"/>
        <v>1.5778609200260194</v>
      </c>
      <c r="G84" s="1918">
        <f t="shared" si="37"/>
        <v>1.5778609200260194</v>
      </c>
      <c r="H84" s="1918">
        <f t="shared" si="41"/>
        <v>1.5778609200260194</v>
      </c>
      <c r="I84" s="1917"/>
      <c r="J84" s="1919">
        <f t="shared" si="42"/>
        <v>1.3490602668348852E-4</v>
      </c>
      <c r="K84" s="1920">
        <f ca="1">K83+J84</f>
        <v>0.9993460468916795</v>
      </c>
      <c r="L84" s="1921"/>
      <c r="M84" s="1915">
        <v>64</v>
      </c>
      <c r="N84" s="1922" t="s">
        <v>127</v>
      </c>
      <c r="O84" s="610" t="s">
        <v>315</v>
      </c>
      <c r="P84" s="1923" t="s">
        <v>934</v>
      </c>
      <c r="Q84" s="1924" t="s">
        <v>85</v>
      </c>
      <c r="R84" s="1918">
        <v>2.8804728488924307</v>
      </c>
      <c r="S84" s="1918">
        <f t="shared" si="27"/>
        <v>1.5778609200260194</v>
      </c>
      <c r="T84" s="1945">
        <f t="shared" si="38"/>
        <v>8.668766952066128E-4</v>
      </c>
      <c r="U84" s="1946">
        <f t="shared" si="39"/>
        <v>3.804853779242157E-4</v>
      </c>
      <c r="V84" s="1959">
        <f t="shared" si="40"/>
        <v>0.9972989923405442</v>
      </c>
      <c r="W84" s="1958">
        <f t="shared" si="28"/>
        <v>29</v>
      </c>
    </row>
    <row r="85" spans="1:23" ht="16.5">
      <c r="A85" s="706">
        <f t="shared" si="31"/>
        <v>63</v>
      </c>
      <c r="B85" s="1955" t="str">
        <f t="shared" si="32"/>
        <v>3C6</v>
      </c>
      <c r="C85" s="1955" t="str">
        <f t="shared" si="33"/>
        <v>Agricultura</v>
      </c>
      <c r="D85" s="1955" t="str">
        <f t="shared" si="34"/>
        <v>Manejo de Estiercol - Emisiones Indirectas de N2O Ganado no lechero Vacas</v>
      </c>
      <c r="E85" s="1955" t="str">
        <f t="shared" si="35"/>
        <v>N2O</v>
      </c>
      <c r="F85" s="1918">
        <f t="shared" si="36"/>
        <v>5.0588285055823308</v>
      </c>
      <c r="G85" s="1918">
        <f t="shared" si="37"/>
        <v>5.0588285055823308</v>
      </c>
      <c r="H85" s="1918">
        <f t="shared" si="41"/>
        <v>5.0588285055823308</v>
      </c>
      <c r="I85" s="1917"/>
      <c r="J85" s="1919">
        <f t="shared" si="42"/>
        <v>4.3252636826193036E-4</v>
      </c>
      <c r="K85" s="1920">
        <f>K87+J85</f>
        <v>1.0631474510841106E-3</v>
      </c>
      <c r="L85" s="1921"/>
      <c r="M85" s="1915">
        <v>63</v>
      </c>
      <c r="N85" s="1922" t="s">
        <v>127</v>
      </c>
      <c r="O85" s="610" t="s">
        <v>315</v>
      </c>
      <c r="P85" s="1923" t="s">
        <v>935</v>
      </c>
      <c r="Q85" s="1924" t="s">
        <v>85</v>
      </c>
      <c r="R85" s="1918">
        <v>5.5487305905959383</v>
      </c>
      <c r="S85" s="1918">
        <f t="shared" si="27"/>
        <v>5.0588285055823308</v>
      </c>
      <c r="T85" s="1945">
        <f t="shared" si="38"/>
        <v>3.2602549617444698E-4</v>
      </c>
      <c r="U85" s="1946">
        <f t="shared" si="39"/>
        <v>1.430975533323094E-4</v>
      </c>
      <c r="V85" s="1959">
        <f t="shared" si="40"/>
        <v>0.9974420898938765</v>
      </c>
      <c r="W85" s="1958">
        <f t="shared" si="28"/>
        <v>35</v>
      </c>
    </row>
    <row r="86" spans="1:23" ht="16.5">
      <c r="A86" s="706">
        <f t="shared" si="31"/>
        <v>65</v>
      </c>
      <c r="B86" s="1955" t="str">
        <f t="shared" si="32"/>
        <v>3C6</v>
      </c>
      <c r="C86" s="1955" t="str">
        <f t="shared" si="33"/>
        <v>Agricultura</v>
      </c>
      <c r="D86" s="1955" t="str">
        <f t="shared" si="34"/>
        <v>Manejo de Estiercol - Emisiones Indirectas de N2O Ganado no lechero en crecimiento</v>
      </c>
      <c r="E86" s="1955" t="str">
        <f t="shared" si="35"/>
        <v>N2O</v>
      </c>
      <c r="F86" s="1918">
        <f t="shared" si="36"/>
        <v>5.5955151928393851</v>
      </c>
      <c r="G86" s="1918">
        <f t="shared" si="37"/>
        <v>5.5955151928393851</v>
      </c>
      <c r="H86" s="1918">
        <f t="shared" si="41"/>
        <v>5.5955151928393851</v>
      </c>
      <c r="I86" s="1917"/>
      <c r="J86" s="1919">
        <f t="shared" si="42"/>
        <v>4.7841271200291057E-4</v>
      </c>
      <c r="K86" s="1920">
        <f>K76+J86</f>
        <v>9.7228946052243231E-3</v>
      </c>
      <c r="L86" s="1921"/>
      <c r="M86" s="1915">
        <v>65</v>
      </c>
      <c r="N86" s="1922" t="s">
        <v>127</v>
      </c>
      <c r="O86" s="610" t="s">
        <v>315</v>
      </c>
      <c r="P86" s="1923" t="s">
        <v>936</v>
      </c>
      <c r="Q86" s="1924" t="s">
        <v>85</v>
      </c>
      <c r="R86" s="1918">
        <v>5.9193364941490048</v>
      </c>
      <c r="S86" s="1918">
        <f t="shared" si="27"/>
        <v>5.5955151928393851</v>
      </c>
      <c r="T86" s="1945">
        <f t="shared" si="38"/>
        <v>2.1550020639000018E-4</v>
      </c>
      <c r="U86" s="1946">
        <f t="shared" si="39"/>
        <v>9.458632112783116E-5</v>
      </c>
      <c r="V86" s="1959">
        <f t="shared" si="40"/>
        <v>0.9975366762150043</v>
      </c>
      <c r="W86" s="1958">
        <f t="shared" si="28"/>
        <v>36</v>
      </c>
    </row>
    <row r="87" spans="1:23" ht="16.5">
      <c r="A87" s="706">
        <f t="shared" si="31"/>
        <v>56</v>
      </c>
      <c r="B87" s="1955" t="str">
        <f t="shared" si="32"/>
        <v>3A2</v>
      </c>
      <c r="C87" s="1955" t="str">
        <f t="shared" si="33"/>
        <v>Agricultura</v>
      </c>
      <c r="D87" s="1955" t="str">
        <f t="shared" si="34"/>
        <v>Manejo de Estiercol - Emisiones Directas de N2O Ganado no lechero Vacas</v>
      </c>
      <c r="E87" s="1955" t="str">
        <f t="shared" si="35"/>
        <v>N2O</v>
      </c>
      <c r="F87" s="1918">
        <f t="shared" si="36"/>
        <v>2.0264886509326292</v>
      </c>
      <c r="G87" s="1918">
        <f t="shared" si="37"/>
        <v>2.0264886509326292</v>
      </c>
      <c r="H87" s="1918">
        <f t="shared" si="41"/>
        <v>2.0264886509326292</v>
      </c>
      <c r="I87" s="1917"/>
      <c r="J87" s="1919">
        <f t="shared" si="42"/>
        <v>1.7326339004073674E-4</v>
      </c>
      <c r="K87" s="1920">
        <f>K82+J87</f>
        <v>6.3062108282218015E-4</v>
      </c>
      <c r="L87" s="1921"/>
      <c r="M87" s="1915">
        <v>56</v>
      </c>
      <c r="N87" s="1922" t="s">
        <v>110</v>
      </c>
      <c r="O87" s="610" t="s">
        <v>315</v>
      </c>
      <c r="P87" s="1923" t="s">
        <v>929</v>
      </c>
      <c r="Q87" s="1924" t="s">
        <v>85</v>
      </c>
      <c r="R87" s="1918">
        <v>2.7708858400080798</v>
      </c>
      <c r="S87" s="1918">
        <f t="shared" si="27"/>
        <v>2.0264886509326292</v>
      </c>
      <c r="T87" s="1945">
        <f t="shared" si="38"/>
        <v>4.9538973264922194E-4</v>
      </c>
      <c r="U87" s="1946">
        <f t="shared" si="39"/>
        <v>2.1743409493998534E-4</v>
      </c>
      <c r="V87" s="1959">
        <f t="shared" si="40"/>
        <v>0.99775411030994432</v>
      </c>
      <c r="W87" s="1958">
        <f t="shared" si="28"/>
        <v>32</v>
      </c>
    </row>
    <row r="88" spans="1:23" ht="16.5">
      <c r="A88" s="706">
        <f t="shared" si="31"/>
        <v>62</v>
      </c>
      <c r="B88" s="1955" t="str">
        <f t="shared" si="32"/>
        <v>3C6</v>
      </c>
      <c r="C88" s="1955" t="str">
        <f t="shared" si="33"/>
        <v>Agricultura</v>
      </c>
      <c r="D88" s="1955" t="str">
        <f t="shared" si="34"/>
        <v>Manejo de Estiercol - Emisiones Indirectas de N2O Ganado lechero</v>
      </c>
      <c r="E88" s="1955" t="str">
        <f t="shared" si="35"/>
        <v>N2O</v>
      </c>
      <c r="F88" s="1918">
        <f t="shared" si="36"/>
        <v>5.5501304158582263</v>
      </c>
      <c r="G88" s="1918">
        <f t="shared" si="37"/>
        <v>5.5501304158582263</v>
      </c>
      <c r="H88" s="1918">
        <f t="shared" si="41"/>
        <v>5.5501304158582263</v>
      </c>
      <c r="I88" s="1917"/>
      <c r="J88" s="1919">
        <f t="shared" si="42"/>
        <v>4.7453234469249932E-4</v>
      </c>
      <c r="K88" s="1920">
        <f>K103+J88</f>
        <v>4.7453234469249932E-4</v>
      </c>
      <c r="L88" s="1921"/>
      <c r="M88" s="1915">
        <v>62</v>
      </c>
      <c r="N88" s="1922" t="s">
        <v>127</v>
      </c>
      <c r="O88" s="610" t="s">
        <v>315</v>
      </c>
      <c r="P88" s="1923" t="s">
        <v>933</v>
      </c>
      <c r="Q88" s="1924" t="s">
        <v>85</v>
      </c>
      <c r="R88" s="1918">
        <v>6.1860076193796649</v>
      </c>
      <c r="S88" s="1918">
        <f t="shared" si="27"/>
        <v>5.5501304158582263</v>
      </c>
      <c r="T88" s="1945">
        <f t="shared" si="38"/>
        <v>4.2317064394273507E-4</v>
      </c>
      <c r="U88" s="1946">
        <f t="shared" si="39"/>
        <v>1.8573603752101078E-4</v>
      </c>
      <c r="V88" s="1959">
        <f t="shared" si="40"/>
        <v>0.99793984634746535</v>
      </c>
      <c r="W88" s="1958">
        <f t="shared" si="28"/>
        <v>33</v>
      </c>
    </row>
    <row r="89" spans="1:23" ht="16.5">
      <c r="A89" s="706">
        <f t="shared" si="31"/>
        <v>58</v>
      </c>
      <c r="B89" s="1955" t="str">
        <f t="shared" si="32"/>
        <v>3A2</v>
      </c>
      <c r="C89" s="1955" t="str">
        <f t="shared" si="33"/>
        <v>Agricultura</v>
      </c>
      <c r="D89" s="1955" t="str">
        <f t="shared" si="34"/>
        <v>Manejo de Estiercol - Emisiones Directas de N2O Ganado no lechero en crecimiento</v>
      </c>
      <c r="E89" s="1955" t="str">
        <f t="shared" si="35"/>
        <v>N2O</v>
      </c>
      <c r="F89" s="1918">
        <f t="shared" si="36"/>
        <v>3.6680088506598674</v>
      </c>
      <c r="G89" s="1918">
        <f t="shared" si="37"/>
        <v>3.6680088506598674</v>
      </c>
      <c r="H89" s="1918">
        <f t="shared" si="41"/>
        <v>3.6680088506598674</v>
      </c>
      <c r="I89" s="1917"/>
      <c r="J89" s="1919">
        <f t="shared" si="42"/>
        <v>3.1361224148591764E-4</v>
      </c>
      <c r="K89" s="1920">
        <f>K93+J89</f>
        <v>3.1361224148591764E-4</v>
      </c>
      <c r="L89" s="1921"/>
      <c r="M89" s="1915">
        <v>58</v>
      </c>
      <c r="N89" s="1922" t="s">
        <v>110</v>
      </c>
      <c r="O89" s="610" t="s">
        <v>315</v>
      </c>
      <c r="P89" s="1923" t="s">
        <v>930</v>
      </c>
      <c r="Q89" s="1924" t="s">
        <v>85</v>
      </c>
      <c r="R89" s="1918">
        <v>4.2895718636332942</v>
      </c>
      <c r="S89" s="1918">
        <f t="shared" si="27"/>
        <v>3.6680088506598674</v>
      </c>
      <c r="T89" s="1945">
        <f t="shared" si="38"/>
        <v>4.1364467698217091E-4</v>
      </c>
      <c r="U89" s="1946">
        <f t="shared" si="39"/>
        <v>1.8155494560894827E-4</v>
      </c>
      <c r="V89" s="1959">
        <f t="shared" si="40"/>
        <v>0.99812140129307425</v>
      </c>
      <c r="W89" s="1958">
        <f t="shared" si="28"/>
        <v>34</v>
      </c>
    </row>
    <row r="90" spans="1:23" ht="16.5">
      <c r="A90" s="706">
        <f t="shared" si="31"/>
        <v>69</v>
      </c>
      <c r="B90" s="1955" t="str">
        <f t="shared" si="32"/>
        <v>3C4</v>
      </c>
      <c r="C90" s="1955" t="str">
        <f t="shared" si="33"/>
        <v>Agricultura</v>
      </c>
      <c r="D90" s="1955" t="str">
        <f t="shared" si="34"/>
        <v>Suelos Agrícolas - Emisiones Directas N2O Residuos Orgánicos</v>
      </c>
      <c r="E90" s="1955" t="str">
        <f t="shared" si="35"/>
        <v>N2O</v>
      </c>
      <c r="F90" s="1918">
        <f t="shared" si="36"/>
        <v>10.994886282285714</v>
      </c>
      <c r="G90" s="1918">
        <f t="shared" si="37"/>
        <v>10.994886282285714</v>
      </c>
      <c r="H90" s="1918">
        <f t="shared" si="41"/>
        <v>10.994886282285714</v>
      </c>
      <c r="I90" s="1917"/>
      <c r="J90" s="1919">
        <f t="shared" si="42"/>
        <v>9.4005523766663721E-4</v>
      </c>
      <c r="K90" s="1920">
        <f>K66+J90</f>
        <v>2.0617357273903403E-2</v>
      </c>
      <c r="L90" s="1921"/>
      <c r="M90" s="1915">
        <v>69</v>
      </c>
      <c r="N90" s="1922" t="s">
        <v>129</v>
      </c>
      <c r="O90" s="610" t="s">
        <v>315</v>
      </c>
      <c r="P90" s="1923" t="s">
        <v>940</v>
      </c>
      <c r="Q90" s="1924" t="s">
        <v>85</v>
      </c>
      <c r="R90" s="1918">
        <v>5.6634036887999999</v>
      </c>
      <c r="S90" s="1918">
        <f t="shared" si="27"/>
        <v>10.994886282285714</v>
      </c>
      <c r="T90" s="1945">
        <f t="shared" si="38"/>
        <v>3.5480544195649363E-3</v>
      </c>
      <c r="U90" s="1946">
        <f t="shared" si="39"/>
        <v>1.5572950965097654E-3</v>
      </c>
      <c r="V90" s="1959">
        <f t="shared" si="40"/>
        <v>0.99967869638958406</v>
      </c>
      <c r="W90" s="1958">
        <f t="shared" si="28"/>
        <v>23</v>
      </c>
    </row>
    <row r="91" spans="1:23" ht="16.5" hidden="1">
      <c r="A91" s="706">
        <f t="shared" ref="A91" si="43">M91</f>
        <v>99</v>
      </c>
      <c r="B91" s="671" t="s">
        <v>2191</v>
      </c>
      <c r="C91" s="610" t="s">
        <v>2028</v>
      </c>
      <c r="D91" s="1916" t="s">
        <v>2192</v>
      </c>
      <c r="E91" s="1917" t="s">
        <v>83</v>
      </c>
      <c r="F91" s="1918">
        <v>5.43</v>
      </c>
      <c r="G91" s="1918"/>
      <c r="H91" s="1918">
        <v>5.43</v>
      </c>
      <c r="I91" s="1917"/>
      <c r="J91" s="1927">
        <f>H91/H$93</f>
        <v>4.6426127651305469E-4</v>
      </c>
      <c r="K91" s="1920">
        <f>K68+J91</f>
        <v>4.6426127651305469E-4</v>
      </c>
      <c r="L91" s="1921"/>
      <c r="M91" s="1926">
        <v>99</v>
      </c>
      <c r="N91" s="1922" t="s">
        <v>2191</v>
      </c>
      <c r="O91" s="610" t="s">
        <v>2028</v>
      </c>
      <c r="P91" s="1916" t="s">
        <v>2192</v>
      </c>
      <c r="Q91" s="1917" t="s">
        <v>83</v>
      </c>
      <c r="R91" s="1918">
        <v>4.33</v>
      </c>
      <c r="S91" s="1918">
        <v>5.43</v>
      </c>
      <c r="T91" s="1945">
        <f t="shared" ref="T91" si="44">ABS((S91-R91)/(S$93-R$93))</f>
        <v>7.3204025204736637E-4</v>
      </c>
      <c r="U91" s="1925">
        <f>(S91-R91)/ABS(R91)</f>
        <v>0.25404157043879899</v>
      </c>
      <c r="V91" s="1952">
        <f t="shared" ref="V91" si="45">U91+V90</f>
        <v>1.2537202668283831</v>
      </c>
      <c r="W91" s="1956" t="e">
        <f t="shared" ref="W91" si="46">RANK(V91,U$12:U$90)</f>
        <v>#N/A</v>
      </c>
    </row>
    <row r="92" spans="1:23" ht="16.5">
      <c r="B92" s="590"/>
      <c r="C92" s="591"/>
      <c r="D92" s="592"/>
      <c r="E92" s="593"/>
      <c r="F92" s="1928"/>
      <c r="G92" s="1928"/>
      <c r="H92" s="1929"/>
      <c r="I92" s="1929"/>
      <c r="J92" s="1929"/>
      <c r="K92" s="1929"/>
      <c r="L92" s="1930"/>
      <c r="M92" s="1930"/>
      <c r="N92" s="1930"/>
      <c r="O92" s="1930"/>
      <c r="R92" s="593"/>
      <c r="S92" s="1929"/>
    </row>
    <row r="93" spans="1:23" ht="19.5">
      <c r="B93" s="571"/>
      <c r="C93" s="595"/>
      <c r="D93" s="596" t="s">
        <v>851</v>
      </c>
      <c r="E93" s="597"/>
      <c r="F93" s="598">
        <f>SUM(F12:F91)</f>
        <v>12383.264212489865</v>
      </c>
      <c r="G93" s="598">
        <f>SUM(G12:H91)</f>
        <v>24073.834449217142</v>
      </c>
      <c r="H93" s="598">
        <f>SUM(H12:I91)</f>
        <v>11696.000236727286</v>
      </c>
      <c r="I93" s="598">
        <f>SUM(I12:J91)</f>
        <v>0.99999999999999989</v>
      </c>
      <c r="J93" s="598">
        <f>SUM(J12:J91)</f>
        <v>0.99999999999999989</v>
      </c>
      <c r="K93" s="599"/>
      <c r="L93" s="683"/>
      <c r="M93" s="683"/>
      <c r="N93" s="683"/>
      <c r="O93" s="683"/>
      <c r="P93"/>
      <c r="Q93"/>
      <c r="R93" s="1944">
        <f>SUM(R12:R92)</f>
        <v>13885.913823523582</v>
      </c>
      <c r="S93" s="1944">
        <f>SUM(S12:S92)</f>
        <v>12383.264212489865</v>
      </c>
      <c r="T93" s="598">
        <f>SUM(T12:T91)</f>
        <v>2.2783443083567736</v>
      </c>
      <c r="U93" s="598">
        <f>SUM(U12:U91)</f>
        <v>1.2537202668283831</v>
      </c>
    </row>
    <row r="94" spans="1:23" ht="16.5">
      <c r="B94" s="571"/>
      <c r="C94" s="600"/>
      <c r="D94" s="600"/>
      <c r="E94" s="600"/>
      <c r="F94" s="604"/>
      <c r="G94" s="604"/>
      <c r="H94" s="1931"/>
      <c r="I94" s="1932"/>
      <c r="J94" s="604"/>
      <c r="K94" s="600"/>
      <c r="L94" s="684"/>
      <c r="M94" s="684"/>
      <c r="N94" s="684"/>
      <c r="O94" s="684"/>
      <c r="P94"/>
      <c r="Q94"/>
      <c r="R94" s="600"/>
      <c r="S94" s="1932"/>
      <c r="T94"/>
      <c r="U94" s="559"/>
    </row>
    <row r="95" spans="1:23">
      <c r="B95" s="571"/>
      <c r="C95" s="571"/>
      <c r="D95" s="571"/>
      <c r="E95" s="571"/>
      <c r="F95" s="1906"/>
      <c r="G95" s="1906"/>
      <c r="H95" s="1907"/>
      <c r="I95" s="1908"/>
      <c r="J95" s="571"/>
      <c r="K95" s="571"/>
      <c r="P95"/>
      <c r="Q95"/>
      <c r="R95" s="571"/>
      <c r="S95" s="1908"/>
      <c r="T95"/>
      <c r="U95" s="559"/>
    </row>
    <row r="96" spans="1:23">
      <c r="B96" s="571"/>
      <c r="C96" s="571"/>
      <c r="D96" s="571"/>
      <c r="E96" s="571"/>
      <c r="F96" s="1906"/>
      <c r="G96" s="1906"/>
      <c r="H96" s="1907"/>
      <c r="I96" s="1908"/>
      <c r="J96" s="571"/>
      <c r="K96" s="571"/>
      <c r="P96"/>
      <c r="Q96"/>
      <c r="R96" s="571"/>
      <c r="S96" s="1908"/>
      <c r="T96"/>
      <c r="U96" s="559"/>
    </row>
    <row r="97" spans="2:21">
      <c r="B97" s="571"/>
      <c r="C97" s="571"/>
      <c r="D97" s="571"/>
      <c r="E97" s="571"/>
      <c r="F97" s="1906"/>
      <c r="G97" s="1906"/>
      <c r="H97" s="1907"/>
      <c r="I97" s="1908"/>
      <c r="J97" s="571"/>
      <c r="K97" s="571"/>
      <c r="P97"/>
      <c r="Q97"/>
      <c r="R97" s="571"/>
      <c r="S97" s="1908"/>
      <c r="T97"/>
      <c r="U97" s="559"/>
    </row>
    <row r="98" spans="2:21">
      <c r="B98" s="571"/>
      <c r="C98" s="571"/>
      <c r="D98" s="571"/>
      <c r="E98" s="571"/>
      <c r="F98" s="1906"/>
      <c r="G98" s="1906"/>
      <c r="H98" s="1907"/>
      <c r="I98" s="1908"/>
      <c r="J98" s="571"/>
      <c r="K98" s="571"/>
      <c r="P98"/>
      <c r="Q98"/>
      <c r="R98" s="571"/>
      <c r="S98" s="1908"/>
      <c r="T98"/>
      <c r="U98" s="559"/>
    </row>
    <row r="99" spans="2:21">
      <c r="B99" s="571"/>
      <c r="C99" s="571"/>
      <c r="D99" s="571"/>
      <c r="E99" s="571"/>
      <c r="F99" s="1906"/>
      <c r="G99" s="1906"/>
      <c r="H99" s="1907"/>
      <c r="I99" s="1908"/>
      <c r="J99" s="571"/>
      <c r="K99" s="571"/>
      <c r="P99"/>
      <c r="Q99"/>
      <c r="R99" s="571"/>
      <c r="S99" s="1908"/>
      <c r="T99"/>
      <c r="U99" s="559"/>
    </row>
    <row r="100" spans="2:21">
      <c r="B100" s="571"/>
      <c r="C100" s="571"/>
      <c r="D100" s="571"/>
      <c r="E100" s="571"/>
      <c r="F100" s="1906"/>
      <c r="G100" s="1906"/>
      <c r="H100" s="1907"/>
      <c r="I100" s="1908"/>
      <c r="J100" s="571"/>
      <c r="K100" s="571"/>
      <c r="P100"/>
      <c r="Q100"/>
      <c r="R100" s="571"/>
      <c r="S100" s="1908"/>
      <c r="T100"/>
      <c r="U100" s="559"/>
    </row>
    <row r="101" spans="2:21">
      <c r="B101" s="571"/>
      <c r="C101" s="571"/>
      <c r="D101" s="571"/>
      <c r="E101" s="571"/>
      <c r="F101" s="1906"/>
      <c r="G101" s="1906"/>
      <c r="H101" s="1907"/>
      <c r="I101" s="1908"/>
      <c r="J101" s="571"/>
      <c r="K101" s="571"/>
      <c r="P101"/>
      <c r="Q101"/>
      <c r="R101" s="571"/>
      <c r="S101" s="1908"/>
      <c r="T101"/>
      <c r="U101" s="559"/>
    </row>
    <row r="105" spans="2:21" ht="62">
      <c r="M105" s="1935" t="s">
        <v>932</v>
      </c>
      <c r="N105" s="1936" t="s">
        <v>954</v>
      </c>
      <c r="O105" s="1937" t="s">
        <v>82</v>
      </c>
      <c r="P105" s="1938" t="s">
        <v>842</v>
      </c>
      <c r="Q105" s="1939" t="s">
        <v>843</v>
      </c>
      <c r="R105" s="1939" t="s">
        <v>947</v>
      </c>
      <c r="S105" s="1939" t="s">
        <v>846</v>
      </c>
    </row>
    <row r="106" spans="2:21" ht="16.5" hidden="1">
      <c r="M106" s="1935">
        <v>1</v>
      </c>
      <c r="N106" s="1940" t="s">
        <v>2163</v>
      </c>
      <c r="O106" s="1937" t="s">
        <v>2028</v>
      </c>
      <c r="P106" s="1941" t="s">
        <v>2164</v>
      </c>
      <c r="Q106" s="1942" t="s">
        <v>83</v>
      </c>
      <c r="R106" s="1943"/>
      <c r="S106" s="1943"/>
    </row>
    <row r="107" spans="2:21" ht="16.5" hidden="1">
      <c r="M107" s="1935">
        <v>2</v>
      </c>
      <c r="N107" s="1940" t="s">
        <v>2180</v>
      </c>
      <c r="O107" s="1937" t="s">
        <v>2028</v>
      </c>
      <c r="P107" s="1941" t="s">
        <v>2181</v>
      </c>
      <c r="Q107" s="1942" t="s">
        <v>83</v>
      </c>
      <c r="R107" s="1943"/>
      <c r="S107" s="1943"/>
    </row>
    <row r="108" spans="2:21" ht="16.5" hidden="1">
      <c r="M108" s="1935">
        <v>3</v>
      </c>
      <c r="N108" s="1940" t="s">
        <v>2184</v>
      </c>
      <c r="O108" s="1937" t="s">
        <v>2028</v>
      </c>
      <c r="P108" s="1941" t="s">
        <v>2185</v>
      </c>
      <c r="Q108" s="1942" t="s">
        <v>83</v>
      </c>
      <c r="R108" s="1943"/>
      <c r="S108" s="1943"/>
    </row>
    <row r="109" spans="2:21" ht="16.5" hidden="1">
      <c r="M109" s="1935">
        <v>4</v>
      </c>
      <c r="N109" s="1940" t="s">
        <v>2170</v>
      </c>
      <c r="O109" s="1937" t="s">
        <v>2028</v>
      </c>
      <c r="P109" s="1941" t="s">
        <v>2171</v>
      </c>
      <c r="Q109" s="1942" t="s">
        <v>83</v>
      </c>
      <c r="R109" s="1943"/>
      <c r="S109" s="1943"/>
    </row>
    <row r="110" spans="2:21" ht="16.5" hidden="1">
      <c r="M110" s="1935">
        <v>5</v>
      </c>
      <c r="N110" s="1940" t="s">
        <v>2182</v>
      </c>
      <c r="O110" s="1937" t="s">
        <v>2028</v>
      </c>
      <c r="P110" s="1941" t="s">
        <v>2183</v>
      </c>
      <c r="Q110" s="1942" t="s">
        <v>83</v>
      </c>
      <c r="R110" s="1943"/>
      <c r="S110" s="1943"/>
    </row>
    <row r="111" spans="2:21" ht="16.5" hidden="1">
      <c r="M111" s="1935">
        <v>6</v>
      </c>
      <c r="N111" s="1940" t="s">
        <v>2182</v>
      </c>
      <c r="O111" s="1937" t="s">
        <v>2028</v>
      </c>
      <c r="P111" s="1941" t="s">
        <v>2195</v>
      </c>
      <c r="Q111" s="1942" t="s">
        <v>83</v>
      </c>
      <c r="R111" s="1943"/>
      <c r="S111" s="1943"/>
    </row>
    <row r="112" spans="2:21" ht="16.5" hidden="1">
      <c r="M112" s="1935">
        <v>7</v>
      </c>
      <c r="N112" s="1940" t="s">
        <v>2193</v>
      </c>
      <c r="O112" s="1937" t="s">
        <v>2028</v>
      </c>
      <c r="P112" s="1941" t="s">
        <v>2194</v>
      </c>
      <c r="Q112" s="1942" t="s">
        <v>83</v>
      </c>
      <c r="R112" s="1943"/>
      <c r="S112" s="1943"/>
    </row>
    <row r="113" spans="13:19" ht="16.5" hidden="1">
      <c r="M113" s="1935">
        <v>8</v>
      </c>
      <c r="N113" s="1940" t="s">
        <v>2086</v>
      </c>
      <c r="O113" s="1937" t="s">
        <v>2144</v>
      </c>
      <c r="P113" s="1941" t="s">
        <v>2146</v>
      </c>
      <c r="Q113" s="1942" t="s">
        <v>83</v>
      </c>
      <c r="R113" s="1943"/>
      <c r="S113" s="1943"/>
    </row>
    <row r="114" spans="13:19" ht="16.5" hidden="1">
      <c r="M114" s="1935">
        <v>9</v>
      </c>
      <c r="N114" s="1940" t="s">
        <v>2092</v>
      </c>
      <c r="O114" s="1937" t="s">
        <v>2144</v>
      </c>
      <c r="P114" s="1941" t="s">
        <v>2145</v>
      </c>
      <c r="Q114" s="1942" t="s">
        <v>83</v>
      </c>
      <c r="R114" s="1943"/>
      <c r="S114" s="1943"/>
    </row>
    <row r="115" spans="13:19" ht="16.5" hidden="1">
      <c r="M115" s="1935">
        <v>10</v>
      </c>
      <c r="N115" s="1940" t="s">
        <v>2086</v>
      </c>
      <c r="O115" s="1937" t="s">
        <v>2144</v>
      </c>
      <c r="P115" s="1941" t="s">
        <v>2155</v>
      </c>
      <c r="Q115" s="1942" t="s">
        <v>83</v>
      </c>
      <c r="R115" s="1943"/>
      <c r="S115" s="1943"/>
    </row>
    <row r="116" spans="13:19" ht="16.5" hidden="1">
      <c r="M116" s="1935">
        <v>11</v>
      </c>
      <c r="N116" s="1940" t="s">
        <v>2096</v>
      </c>
      <c r="O116" s="1937" t="s">
        <v>2144</v>
      </c>
      <c r="P116" s="1941" t="s">
        <v>2162</v>
      </c>
      <c r="Q116" s="1942" t="s">
        <v>83</v>
      </c>
      <c r="R116" s="1943"/>
      <c r="S116" s="1943"/>
    </row>
    <row r="117" spans="13:19" ht="16.5" hidden="1">
      <c r="M117" s="1935">
        <v>12</v>
      </c>
      <c r="N117" s="1940" t="s">
        <v>2086</v>
      </c>
      <c r="O117" s="1937" t="s">
        <v>2144</v>
      </c>
      <c r="P117" s="1941" t="s">
        <v>2150</v>
      </c>
      <c r="Q117" s="1942" t="s">
        <v>83</v>
      </c>
      <c r="R117" s="1943"/>
      <c r="S117" s="1943"/>
    </row>
    <row r="118" spans="13:19" ht="16.5" hidden="1">
      <c r="M118" s="1935">
        <v>13</v>
      </c>
      <c r="N118" s="1940" t="s">
        <v>2100</v>
      </c>
      <c r="O118" s="1937" t="s">
        <v>2144</v>
      </c>
      <c r="P118" s="1941" t="s">
        <v>2172</v>
      </c>
      <c r="Q118" s="1942" t="s">
        <v>83</v>
      </c>
      <c r="R118" s="1943"/>
      <c r="S118" s="1943"/>
    </row>
    <row r="119" spans="13:19" ht="16.5" hidden="1">
      <c r="M119" s="1935">
        <v>14</v>
      </c>
      <c r="N119" s="1940" t="s">
        <v>2174</v>
      </c>
      <c r="O119" s="1937" t="s">
        <v>2144</v>
      </c>
      <c r="P119" s="1941" t="s">
        <v>2175</v>
      </c>
      <c r="Q119" s="1942" t="s">
        <v>83</v>
      </c>
      <c r="R119" s="1943"/>
      <c r="S119" s="1943"/>
    </row>
    <row r="120" spans="13:19" ht="16.5" hidden="1">
      <c r="M120" s="1935">
        <v>15</v>
      </c>
      <c r="N120" s="1940" t="s">
        <v>2088</v>
      </c>
      <c r="O120" s="1937" t="s">
        <v>2144</v>
      </c>
      <c r="P120" s="1941" t="s">
        <v>2173</v>
      </c>
      <c r="Q120" s="1942" t="s">
        <v>83</v>
      </c>
      <c r="R120" s="1943"/>
      <c r="S120" s="1943"/>
    </row>
    <row r="121" spans="13:19" ht="16.5" hidden="1">
      <c r="M121" s="1935">
        <v>16</v>
      </c>
      <c r="N121" s="1940" t="s">
        <v>2104</v>
      </c>
      <c r="O121" s="1937" t="s">
        <v>2144</v>
      </c>
      <c r="P121" s="1941" t="s">
        <v>2179</v>
      </c>
      <c r="Q121" s="1942" t="s">
        <v>83</v>
      </c>
      <c r="R121" s="1943"/>
      <c r="S121" s="1943"/>
    </row>
    <row r="122" spans="13:19" ht="16.5" hidden="1">
      <c r="M122" s="1935">
        <v>17</v>
      </c>
      <c r="N122" s="1940" t="s">
        <v>2081</v>
      </c>
      <c r="O122" s="1937" t="s">
        <v>2144</v>
      </c>
      <c r="P122" s="1941" t="s">
        <v>2176</v>
      </c>
      <c r="Q122" s="1942" t="s">
        <v>84</v>
      </c>
      <c r="R122" s="1943"/>
      <c r="S122" s="1943"/>
    </row>
    <row r="123" spans="13:19" ht="16.5" hidden="1">
      <c r="M123" s="1935">
        <v>18</v>
      </c>
      <c r="N123" s="1940" t="s">
        <v>2086</v>
      </c>
      <c r="O123" s="1937" t="s">
        <v>2144</v>
      </c>
      <c r="P123" s="1941" t="s">
        <v>2186</v>
      </c>
      <c r="Q123" s="1942" t="s">
        <v>956</v>
      </c>
      <c r="R123" s="1943"/>
      <c r="S123" s="1943"/>
    </row>
    <row r="124" spans="13:19" ht="16.5" hidden="1">
      <c r="M124" s="1935">
        <v>19</v>
      </c>
      <c r="N124" s="1940" t="s">
        <v>2081</v>
      </c>
      <c r="O124" s="1937" t="s">
        <v>2144</v>
      </c>
      <c r="P124" s="1941" t="s">
        <v>2176</v>
      </c>
      <c r="Q124" s="1942" t="s">
        <v>83</v>
      </c>
      <c r="R124" s="1943"/>
      <c r="S124" s="1943"/>
    </row>
    <row r="125" spans="13:19" ht="16.5" hidden="1">
      <c r="M125" s="1935">
        <v>20</v>
      </c>
      <c r="N125" s="1940" t="s">
        <v>2189</v>
      </c>
      <c r="O125" s="1937" t="s">
        <v>2144</v>
      </c>
      <c r="P125" s="1941" t="s">
        <v>2190</v>
      </c>
      <c r="Q125" s="1942" t="s">
        <v>84</v>
      </c>
      <c r="R125" s="1943"/>
      <c r="S125" s="1943"/>
    </row>
    <row r="126" spans="13:19" ht="16.5" hidden="1">
      <c r="M126" s="1935">
        <v>21</v>
      </c>
      <c r="N126" s="1940" t="s">
        <v>2189</v>
      </c>
      <c r="O126" s="1937" t="s">
        <v>2144</v>
      </c>
      <c r="P126" s="1941" t="s">
        <v>2190</v>
      </c>
      <c r="Q126" s="1942" t="s">
        <v>956</v>
      </c>
      <c r="R126" s="1943"/>
      <c r="S126" s="1943"/>
    </row>
    <row r="127" spans="13:19" ht="16.5" hidden="1">
      <c r="M127" s="1935">
        <v>22</v>
      </c>
      <c r="N127" s="1940" t="s">
        <v>2151</v>
      </c>
      <c r="O127" s="1937" t="s">
        <v>2148</v>
      </c>
      <c r="P127" s="1941" t="s">
        <v>2152</v>
      </c>
      <c r="Q127" s="1942" t="s">
        <v>83</v>
      </c>
      <c r="R127" s="1943"/>
      <c r="S127" s="1943"/>
    </row>
    <row r="128" spans="13:19" ht="16.5" hidden="1">
      <c r="M128" s="1935">
        <v>23</v>
      </c>
      <c r="N128" s="1940" t="s">
        <v>2147</v>
      </c>
      <c r="O128" s="1937" t="s">
        <v>2148</v>
      </c>
      <c r="P128" s="1941" t="s">
        <v>2149</v>
      </c>
      <c r="Q128" s="1942" t="s">
        <v>83</v>
      </c>
      <c r="R128" s="1943"/>
      <c r="S128" s="1943"/>
    </row>
    <row r="129" spans="13:19" ht="16.5" hidden="1">
      <c r="M129" s="1935">
        <v>24</v>
      </c>
      <c r="N129" s="1940" t="s">
        <v>2156</v>
      </c>
      <c r="O129" s="1937" t="s">
        <v>2148</v>
      </c>
      <c r="P129" s="1941" t="s">
        <v>2157</v>
      </c>
      <c r="Q129" s="1942" t="s">
        <v>83</v>
      </c>
      <c r="R129" s="1943"/>
      <c r="S129" s="1943"/>
    </row>
    <row r="130" spans="13:19" ht="16.5" hidden="1">
      <c r="M130" s="1935">
        <v>25</v>
      </c>
      <c r="N130" s="1940" t="s">
        <v>2153</v>
      </c>
      <c r="O130" s="1937" t="s">
        <v>2148</v>
      </c>
      <c r="P130" s="1941" t="s">
        <v>2154</v>
      </c>
      <c r="Q130" s="1942" t="s">
        <v>83</v>
      </c>
      <c r="R130" s="1943"/>
      <c r="S130" s="1943"/>
    </row>
    <row r="131" spans="13:19" ht="16.5" hidden="1">
      <c r="M131" s="1935">
        <v>26</v>
      </c>
      <c r="N131" s="1940" t="s">
        <v>2168</v>
      </c>
      <c r="O131" s="1937" t="s">
        <v>2148</v>
      </c>
      <c r="P131" s="1941" t="s">
        <v>2169</v>
      </c>
      <c r="Q131" s="1942" t="s">
        <v>83</v>
      </c>
      <c r="R131" s="1943"/>
      <c r="S131" s="1943"/>
    </row>
    <row r="132" spans="13:19" ht="16.5" hidden="1">
      <c r="M132" s="1935">
        <v>27</v>
      </c>
      <c r="N132" s="1940" t="s">
        <v>2168</v>
      </c>
      <c r="O132" s="1937" t="s">
        <v>2148</v>
      </c>
      <c r="P132" s="1941" t="s">
        <v>2169</v>
      </c>
      <c r="Q132" s="1942" t="s">
        <v>84</v>
      </c>
      <c r="R132" s="1943"/>
      <c r="S132" s="1943"/>
    </row>
    <row r="133" spans="13:19" ht="16.5" hidden="1">
      <c r="M133" s="1935">
        <v>28</v>
      </c>
      <c r="N133" s="1940" t="s">
        <v>2158</v>
      </c>
      <c r="O133" s="1937" t="s">
        <v>2148</v>
      </c>
      <c r="P133" s="1941" t="s">
        <v>2159</v>
      </c>
      <c r="Q133" s="1942" t="s">
        <v>84</v>
      </c>
      <c r="R133" s="1943"/>
      <c r="S133" s="1943"/>
    </row>
    <row r="134" spans="13:19" ht="16.5" hidden="1">
      <c r="M134" s="1935">
        <v>29</v>
      </c>
      <c r="N134" s="1940" t="s">
        <v>2158</v>
      </c>
      <c r="O134" s="1937" t="s">
        <v>2148</v>
      </c>
      <c r="P134" s="1941" t="s">
        <v>2159</v>
      </c>
      <c r="Q134" s="1942" t="s">
        <v>83</v>
      </c>
      <c r="R134" s="1943"/>
      <c r="S134" s="1943"/>
    </row>
    <row r="135" spans="13:19" ht="16.5" hidden="1">
      <c r="M135" s="1935">
        <v>30</v>
      </c>
      <c r="N135" s="1940" t="s">
        <v>2147</v>
      </c>
      <c r="O135" s="1937" t="s">
        <v>2148</v>
      </c>
      <c r="P135" s="1941" t="s">
        <v>2149</v>
      </c>
      <c r="Q135" s="1942" t="s">
        <v>85</v>
      </c>
      <c r="R135" s="1943"/>
      <c r="S135" s="1943"/>
    </row>
    <row r="136" spans="13:19" ht="16.5" hidden="1">
      <c r="M136" s="1935">
        <v>31</v>
      </c>
      <c r="N136" s="1940" t="s">
        <v>2158</v>
      </c>
      <c r="O136" s="1937" t="s">
        <v>2148</v>
      </c>
      <c r="P136" s="1941" t="s">
        <v>2159</v>
      </c>
      <c r="Q136" s="1942" t="s">
        <v>85</v>
      </c>
      <c r="R136" s="1943"/>
      <c r="S136" s="1943"/>
    </row>
    <row r="137" spans="13:19" ht="16.5" hidden="1">
      <c r="M137" s="1935">
        <v>32</v>
      </c>
      <c r="N137" s="1940" t="s">
        <v>2147</v>
      </c>
      <c r="O137" s="1937" t="s">
        <v>2148</v>
      </c>
      <c r="P137" s="1941" t="s">
        <v>2149</v>
      </c>
      <c r="Q137" s="1942" t="s">
        <v>84</v>
      </c>
      <c r="R137" s="1943"/>
      <c r="S137" s="1943"/>
    </row>
    <row r="138" spans="13:19" ht="16.5" hidden="1">
      <c r="M138" s="1935">
        <v>33</v>
      </c>
      <c r="N138" s="1940" t="s">
        <v>2151</v>
      </c>
      <c r="O138" s="1937" t="s">
        <v>2148</v>
      </c>
      <c r="P138" s="1941" t="s">
        <v>2152</v>
      </c>
      <c r="Q138" s="1942" t="s">
        <v>85</v>
      </c>
      <c r="R138" s="1943"/>
      <c r="S138" s="1943"/>
    </row>
    <row r="139" spans="13:19" ht="16.5" hidden="1">
      <c r="M139" s="1935">
        <v>34</v>
      </c>
      <c r="N139" s="1940" t="s">
        <v>2153</v>
      </c>
      <c r="O139" s="1937" t="s">
        <v>2148</v>
      </c>
      <c r="P139" s="1941" t="s">
        <v>2154</v>
      </c>
      <c r="Q139" s="1942" t="s">
        <v>85</v>
      </c>
      <c r="R139" s="1943"/>
      <c r="S139" s="1943"/>
    </row>
    <row r="140" spans="13:19" ht="16.5" hidden="1">
      <c r="M140" s="1935">
        <v>35</v>
      </c>
      <c r="N140" s="1940" t="s">
        <v>2156</v>
      </c>
      <c r="O140" s="1937" t="s">
        <v>2148</v>
      </c>
      <c r="P140" s="1941" t="s">
        <v>2157</v>
      </c>
      <c r="Q140" s="1942" t="s">
        <v>85</v>
      </c>
      <c r="R140" s="1943"/>
      <c r="S140" s="1943"/>
    </row>
    <row r="141" spans="13:19" ht="16.5" hidden="1">
      <c r="M141" s="1935">
        <v>36</v>
      </c>
      <c r="N141" s="1940" t="s">
        <v>2153</v>
      </c>
      <c r="O141" s="1937" t="s">
        <v>2148</v>
      </c>
      <c r="P141" s="1941" t="s">
        <v>2154</v>
      </c>
      <c r="Q141" s="1942" t="s">
        <v>84</v>
      </c>
      <c r="R141" s="1943"/>
      <c r="S141" s="1943"/>
    </row>
    <row r="142" spans="13:19" ht="16.5" hidden="1">
      <c r="M142" s="1935">
        <v>37</v>
      </c>
      <c r="N142" s="1940" t="s">
        <v>2168</v>
      </c>
      <c r="O142" s="1937" t="s">
        <v>2148</v>
      </c>
      <c r="P142" s="1941" t="s">
        <v>2169</v>
      </c>
      <c r="Q142" s="1942" t="s">
        <v>85</v>
      </c>
      <c r="R142" s="1943"/>
      <c r="S142" s="1943"/>
    </row>
    <row r="143" spans="13:19" ht="16.5" hidden="1">
      <c r="M143" s="1935">
        <v>38</v>
      </c>
      <c r="N143" s="1940" t="s">
        <v>2151</v>
      </c>
      <c r="O143" s="1937" t="s">
        <v>2148</v>
      </c>
      <c r="P143" s="1941" t="s">
        <v>2152</v>
      </c>
      <c r="Q143" s="1942" t="s">
        <v>84</v>
      </c>
      <c r="R143" s="1943"/>
      <c r="S143" s="1943"/>
    </row>
    <row r="144" spans="13:19" ht="16.5" hidden="1">
      <c r="M144" s="1935">
        <v>39</v>
      </c>
      <c r="N144" s="1940" t="s">
        <v>2156</v>
      </c>
      <c r="O144" s="1937" t="s">
        <v>2148</v>
      </c>
      <c r="P144" s="1941" t="s">
        <v>2157</v>
      </c>
      <c r="Q144" s="1942" t="s">
        <v>84</v>
      </c>
      <c r="R144" s="1943"/>
      <c r="S144" s="1943"/>
    </row>
    <row r="145" spans="13:19" ht="16.5" hidden="1">
      <c r="M145" s="1935">
        <v>40</v>
      </c>
      <c r="N145" s="1940" t="s">
        <v>2160</v>
      </c>
      <c r="O145" s="1937" t="s">
        <v>2165</v>
      </c>
      <c r="P145" s="1941" t="s">
        <v>2161</v>
      </c>
      <c r="Q145" s="1942" t="s">
        <v>84</v>
      </c>
      <c r="R145" s="1943"/>
      <c r="S145" s="1943"/>
    </row>
    <row r="146" spans="13:19" ht="16.5" hidden="1">
      <c r="M146" s="1935">
        <v>41</v>
      </c>
      <c r="N146" s="1940" t="s">
        <v>2187</v>
      </c>
      <c r="O146" s="1937" t="s">
        <v>2165</v>
      </c>
      <c r="P146" s="1941" t="s">
        <v>2188</v>
      </c>
      <c r="Q146" s="1942" t="s">
        <v>1080</v>
      </c>
      <c r="R146" s="1943"/>
      <c r="S146" s="1943"/>
    </row>
    <row r="147" spans="13:19" ht="16.5" hidden="1">
      <c r="M147" s="1935">
        <v>42</v>
      </c>
      <c r="N147" s="1940" t="s">
        <v>2177</v>
      </c>
      <c r="O147" s="1937" t="s">
        <v>2165</v>
      </c>
      <c r="P147" s="1941" t="s">
        <v>2178</v>
      </c>
      <c r="Q147" s="1942" t="s">
        <v>1080</v>
      </c>
      <c r="R147" s="1943"/>
      <c r="S147" s="1943"/>
    </row>
    <row r="148" spans="13:19" ht="16.5" hidden="1">
      <c r="M148" s="1935">
        <v>43</v>
      </c>
      <c r="N148" s="1940" t="s">
        <v>2166</v>
      </c>
      <c r="O148" s="1937" t="s">
        <v>2165</v>
      </c>
      <c r="P148" s="1941" t="s">
        <v>2167</v>
      </c>
      <c r="Q148" s="1942" t="s">
        <v>84</v>
      </c>
      <c r="R148" s="1943"/>
      <c r="S148" s="1943"/>
    </row>
    <row r="149" spans="13:19" ht="16.5">
      <c r="M149" s="1935">
        <v>46</v>
      </c>
      <c r="N149" s="1940" t="s">
        <v>680</v>
      </c>
      <c r="O149" s="1937" t="s">
        <v>315</v>
      </c>
      <c r="P149" s="1941" t="s">
        <v>917</v>
      </c>
      <c r="Q149" s="1942" t="s">
        <v>84</v>
      </c>
      <c r="R149" s="1943"/>
      <c r="S149" s="1943">
        <f>SUM('3A1 Fermentación E.'!F13:F15)*RESULTADOS!E$57</f>
        <v>2191.1986997326208</v>
      </c>
    </row>
    <row r="150" spans="13:19" ht="16.5">
      <c r="M150" s="1935">
        <v>45</v>
      </c>
      <c r="N150" s="1940" t="s">
        <v>680</v>
      </c>
      <c r="O150" s="1937" t="s">
        <v>315</v>
      </c>
      <c r="P150" s="1941" t="s">
        <v>2205</v>
      </c>
      <c r="Q150" s="1942" t="s">
        <v>84</v>
      </c>
      <c r="R150" s="1943"/>
      <c r="S150" s="1943">
        <f>SUM('3A1 Fermentación E.'!F19:F21)*RESULTADOS!E$57</f>
        <v>1743.6007263510746</v>
      </c>
    </row>
    <row r="151" spans="13:19" ht="16.5">
      <c r="M151" s="1935">
        <v>47</v>
      </c>
      <c r="N151" s="1940" t="s">
        <v>680</v>
      </c>
      <c r="O151" s="1937" t="s">
        <v>315</v>
      </c>
      <c r="P151" s="1941" t="s">
        <v>918</v>
      </c>
      <c r="Q151" s="1942" t="s">
        <v>84</v>
      </c>
      <c r="R151" s="1943"/>
      <c r="S151" s="1943">
        <f>SUM('3A1 Fermentación E.'!F16:F18)*RESULTADOS!E$57</f>
        <v>589.46665068395157</v>
      </c>
    </row>
    <row r="152" spans="13:19" ht="16.5">
      <c r="M152" s="1935">
        <v>44</v>
      </c>
      <c r="N152" s="1940" t="s">
        <v>680</v>
      </c>
      <c r="O152" s="1937" t="s">
        <v>315</v>
      </c>
      <c r="P152" s="1941" t="s">
        <v>920</v>
      </c>
      <c r="Q152" s="1942" t="s">
        <v>84</v>
      </c>
      <c r="R152" s="1943"/>
      <c r="S152" s="1943">
        <f>SUM('3A1 Fermentación E.'!F22:F24)*RESULTADOS!E$57</f>
        <v>3062.854939556943</v>
      </c>
    </row>
    <row r="153" spans="13:19" ht="16.5">
      <c r="M153" s="1935">
        <v>48</v>
      </c>
      <c r="N153" s="1940" t="s">
        <v>680</v>
      </c>
      <c r="O153" s="1937" t="s">
        <v>315</v>
      </c>
      <c r="P153" s="1941" t="s">
        <v>921</v>
      </c>
      <c r="Q153" s="1942" t="s">
        <v>84</v>
      </c>
      <c r="R153" s="1943"/>
      <c r="S153" s="1943">
        <f>SUM('3A1 Fermentación E.'!F25:F35)*RESULTADOS!E$57</f>
        <v>304.50301987705376</v>
      </c>
    </row>
    <row r="154" spans="13:19" ht="16.5">
      <c r="M154" s="1935">
        <v>49</v>
      </c>
      <c r="N154" s="1940" t="s">
        <v>110</v>
      </c>
      <c r="O154" s="1937" t="s">
        <v>315</v>
      </c>
      <c r="P154" s="1941" t="s">
        <v>922</v>
      </c>
      <c r="Q154" s="1942" t="s">
        <v>84</v>
      </c>
      <c r="R154" s="1943"/>
      <c r="S154" s="1943">
        <f>(SUM('3B Manejo de Estiércol CH4'!T13:T15)/1000000)*RESULTADOS!E57</f>
        <v>24.462393235374918</v>
      </c>
    </row>
    <row r="155" spans="13:19" ht="16.5">
      <c r="M155" s="1935">
        <v>50</v>
      </c>
      <c r="N155" s="1940" t="s">
        <v>110</v>
      </c>
      <c r="O155" s="1937" t="s">
        <v>315</v>
      </c>
      <c r="P155" s="1941" t="s">
        <v>2197</v>
      </c>
      <c r="Q155" s="1942" t="s">
        <v>84</v>
      </c>
      <c r="R155" s="1943"/>
      <c r="S155" s="1943">
        <f>(SUM('3B Manejo de Estiércol CH4'!T19:T21)/1000000)*RESULTADOS!E57</f>
        <v>82.894503321989475</v>
      </c>
    </row>
    <row r="156" spans="13:19" ht="16.5">
      <c r="M156" s="1935">
        <v>51</v>
      </c>
      <c r="N156" s="1940" t="s">
        <v>110</v>
      </c>
      <c r="O156" s="1937" t="s">
        <v>315</v>
      </c>
      <c r="P156" s="1941" t="s">
        <v>923</v>
      </c>
      <c r="Q156" s="1942" t="s">
        <v>84</v>
      </c>
      <c r="R156" s="1943"/>
      <c r="S156" s="1943">
        <f>(SUM('3B Manejo de Estiércol CH4'!T16:T18)/1000000)*RESULTADOS!E57</f>
        <v>22.210179242005562</v>
      </c>
    </row>
    <row r="157" spans="13:19" ht="16.5">
      <c r="M157" s="1935">
        <v>52</v>
      </c>
      <c r="N157" s="1940" t="s">
        <v>110</v>
      </c>
      <c r="O157" s="1937" t="s">
        <v>315</v>
      </c>
      <c r="P157" s="1941" t="s">
        <v>925</v>
      </c>
      <c r="Q157" s="1942" t="s">
        <v>84</v>
      </c>
      <c r="R157" s="1943"/>
      <c r="S157" s="1943">
        <f>(SUM('3B Manejo de Estiércol CH4'!T22:T24)/1000000)*RESULTADOS!E57</f>
        <v>86.694174979910471</v>
      </c>
    </row>
    <row r="158" spans="13:19" ht="16.5">
      <c r="M158" s="1935">
        <v>53</v>
      </c>
      <c r="N158" s="1940" t="s">
        <v>2199</v>
      </c>
      <c r="O158" s="1937" t="s">
        <v>315</v>
      </c>
      <c r="P158" s="1941" t="s">
        <v>2198</v>
      </c>
      <c r="Q158" s="1942" t="s">
        <v>84</v>
      </c>
      <c r="R158" s="1943"/>
      <c r="S158" s="1943">
        <f>(SUM('3B Manejo de Estiércol CH4'!T31)/1000000)*RESULTADOS!E57</f>
        <v>198.82632455524379</v>
      </c>
    </row>
    <row r="159" spans="13:19" ht="16.5">
      <c r="M159" s="1935">
        <v>54</v>
      </c>
      <c r="N159" s="1940" t="s">
        <v>110</v>
      </c>
      <c r="O159" s="1937" t="s">
        <v>315</v>
      </c>
      <c r="P159" s="1941" t="s">
        <v>926</v>
      </c>
      <c r="Q159" s="1942" t="s">
        <v>84</v>
      </c>
      <c r="R159" s="1943"/>
      <c r="S159" s="1943">
        <f>(((SUM('3B Manejo de Estiércol CH4'!T25:T35))-('3B Manejo de Estiércol CH4'!T31))/(1000000))*RESULTADOS!E57</f>
        <v>28.003465529596127</v>
      </c>
    </row>
    <row r="160" spans="13:19" ht="16.5">
      <c r="M160" s="1935">
        <v>55</v>
      </c>
      <c r="N160" s="1940" t="s">
        <v>110</v>
      </c>
      <c r="O160" s="1937" t="s">
        <v>315</v>
      </c>
      <c r="P160" s="1941" t="s">
        <v>927</v>
      </c>
      <c r="Q160" s="1942" t="s">
        <v>85</v>
      </c>
      <c r="R160" s="1943"/>
      <c r="S160" s="1943">
        <f>(SUM('3B Gestión Estiércol N2O Dir'!U15:U17)/1000000)*RESULTADOS!E$58</f>
        <v>23.215372188513612</v>
      </c>
    </row>
    <row r="161" spans="13:19" ht="16.5">
      <c r="M161" s="1935">
        <v>56</v>
      </c>
      <c r="N161" s="1940" t="s">
        <v>110</v>
      </c>
      <c r="O161" s="1937" t="s">
        <v>315</v>
      </c>
      <c r="P161" s="1941" t="s">
        <v>929</v>
      </c>
      <c r="Q161" s="1942" t="s">
        <v>85</v>
      </c>
      <c r="R161" s="1943"/>
      <c r="S161" s="1943">
        <f>(SUM('3B Gestión Estiércol N2O Dir'!U21:U23)/1000000)*RESULTADOS!E$58</f>
        <v>2.0264886509326292</v>
      </c>
    </row>
    <row r="162" spans="13:19" ht="16.5">
      <c r="M162" s="1935">
        <v>57</v>
      </c>
      <c r="N162" s="1940" t="s">
        <v>110</v>
      </c>
      <c r="O162" s="1937" t="s">
        <v>315</v>
      </c>
      <c r="P162" s="1941" t="s">
        <v>928</v>
      </c>
      <c r="Q162" s="1942" t="s">
        <v>85</v>
      </c>
      <c r="R162" s="1943"/>
      <c r="S162" s="1943">
        <f>(SUM('3B Gestión Estiércol N2O Dir'!U18:U20)/1000000)*RESULTADOS!E$58</f>
        <v>1.6812468323809404</v>
      </c>
    </row>
    <row r="163" spans="13:19" ht="16.5">
      <c r="M163" s="1935">
        <v>58</v>
      </c>
      <c r="N163" s="1940" t="s">
        <v>110</v>
      </c>
      <c r="O163" s="1937" t="s">
        <v>315</v>
      </c>
      <c r="P163" s="1941" t="s">
        <v>930</v>
      </c>
      <c r="Q163" s="1942" t="s">
        <v>85</v>
      </c>
      <c r="R163" s="1943"/>
      <c r="S163" s="1943">
        <f>(SUM('3B Gestión Estiércol N2O Dir'!U24:U26)/1000000)*RESULTADOS!E$58</f>
        <v>3.6680088506598674</v>
      </c>
    </row>
    <row r="164" spans="13:19" ht="16.5">
      <c r="M164" s="1935">
        <v>59</v>
      </c>
      <c r="N164" s="1940" t="s">
        <v>2199</v>
      </c>
      <c r="O164" s="1937" t="s">
        <v>315</v>
      </c>
      <c r="P164" s="1941" t="s">
        <v>2201</v>
      </c>
      <c r="Q164" s="1942" t="s">
        <v>85</v>
      </c>
      <c r="R164" s="1943"/>
      <c r="S164" s="1943">
        <f>(SUM('3B Gestión Estiércol N2O Dir'!U33)/1000000)*RESULTADOS!E$58</f>
        <v>101.10138272994969</v>
      </c>
    </row>
    <row r="165" spans="13:19" ht="16.5">
      <c r="M165" s="1935">
        <v>60</v>
      </c>
      <c r="N165" s="1940" t="s">
        <v>2199</v>
      </c>
      <c r="O165" s="1937" t="s">
        <v>315</v>
      </c>
      <c r="P165" s="1941" t="s">
        <v>2200</v>
      </c>
      <c r="Q165" s="1942" t="s">
        <v>85</v>
      </c>
      <c r="R165" s="1943"/>
      <c r="S165" s="1943">
        <f>(SUM('3B Gestión Estiércol N2O Dir'!U34:U37)/1000000)*RESULTADOS!E$58</f>
        <v>126.95648766691207</v>
      </c>
    </row>
    <row r="166" spans="13:19" ht="16.5">
      <c r="M166" s="1935">
        <v>61</v>
      </c>
      <c r="N166" s="1940" t="s">
        <v>110</v>
      </c>
      <c r="O166" s="1937" t="s">
        <v>315</v>
      </c>
      <c r="P166" s="1941" t="s">
        <v>931</v>
      </c>
      <c r="Q166" s="1942" t="s">
        <v>85</v>
      </c>
      <c r="R166" s="1943"/>
      <c r="S166" s="1943">
        <f>((SUM('3B Gestión Estiércol N2O Dir'!U27:U37)-('3B Gestión Estiércol N2O Dir'!U33)-SUM('3B Gestión Estiércol N2O Dir'!U34:U37))/(1000000)*RESULTADOS!E$58)</f>
        <v>13.183822810881072</v>
      </c>
    </row>
    <row r="167" spans="13:19" ht="16.5">
      <c r="M167" s="1935">
        <v>62</v>
      </c>
      <c r="N167" s="1940" t="s">
        <v>127</v>
      </c>
      <c r="O167" s="1937" t="s">
        <v>315</v>
      </c>
      <c r="P167" s="1941" t="s">
        <v>933</v>
      </c>
      <c r="Q167" s="1942" t="s">
        <v>85</v>
      </c>
      <c r="R167" s="1943"/>
      <c r="S167" s="1943">
        <f>(SUM('3B Gestión Estiércol N2O Ind'!AG15:AG17)/1000000)*RESULTADOS!E$58</f>
        <v>5.5501304158582263</v>
      </c>
    </row>
    <row r="168" spans="13:19" ht="16.5">
      <c r="M168" s="1935">
        <v>63</v>
      </c>
      <c r="N168" s="1940" t="s">
        <v>127</v>
      </c>
      <c r="O168" s="1937" t="s">
        <v>315</v>
      </c>
      <c r="P168" s="1941" t="s">
        <v>935</v>
      </c>
      <c r="Q168" s="1942" t="s">
        <v>85</v>
      </c>
      <c r="R168" s="1943"/>
      <c r="S168" s="1943">
        <f>(SUM('3B Gestión Estiércol N2O Ind'!AG21:AG23)/1000000)*RESULTADOS!E$58</f>
        <v>5.0588285055823308</v>
      </c>
    </row>
    <row r="169" spans="13:19" ht="16.5">
      <c r="M169" s="1935">
        <v>64</v>
      </c>
      <c r="N169" s="1940" t="s">
        <v>127</v>
      </c>
      <c r="O169" s="1937" t="s">
        <v>315</v>
      </c>
      <c r="P169" s="1941" t="s">
        <v>934</v>
      </c>
      <c r="Q169" s="1942" t="s">
        <v>85</v>
      </c>
      <c r="R169" s="1943"/>
      <c r="S169" s="1943">
        <f>(SUM('3B Gestión Estiércol N2O Ind'!AG18:AG20)/1000000)*RESULTADOS!E$58</f>
        <v>1.5778609200260194</v>
      </c>
    </row>
    <row r="170" spans="13:19" ht="16.5">
      <c r="M170" s="1935">
        <v>65</v>
      </c>
      <c r="N170" s="1940" t="s">
        <v>127</v>
      </c>
      <c r="O170" s="1937" t="s">
        <v>315</v>
      </c>
      <c r="P170" s="1941" t="s">
        <v>936</v>
      </c>
      <c r="Q170" s="1942" t="s">
        <v>85</v>
      </c>
      <c r="R170" s="1943"/>
      <c r="S170" s="1943">
        <f>(SUM('3B Gestión Estiércol N2O Ind'!AG24:AG26)/1000000)*RESULTADOS!E$58</f>
        <v>5.5955151928393851</v>
      </c>
    </row>
    <row r="171" spans="13:19" ht="16.5">
      <c r="M171" s="1935">
        <v>66</v>
      </c>
      <c r="N171" s="1940" t="s">
        <v>202</v>
      </c>
      <c r="O171" s="1937" t="s">
        <v>315</v>
      </c>
      <c r="P171" s="1941" t="s">
        <v>2202</v>
      </c>
      <c r="Q171" s="1942" t="s">
        <v>85</v>
      </c>
      <c r="R171" s="1943"/>
      <c r="S171" s="1943">
        <f>(SUM('3B Gestión Estiércol N2O Ind'!AG33)/1000000)*RESULTADOS!E$58</f>
        <v>36.588590409968795</v>
      </c>
    </row>
    <row r="172" spans="13:19" ht="16.5">
      <c r="M172" s="1935">
        <v>67</v>
      </c>
      <c r="N172" s="1940" t="s">
        <v>2204</v>
      </c>
      <c r="O172" s="1937" t="s">
        <v>315</v>
      </c>
      <c r="P172" s="1941" t="s">
        <v>2203</v>
      </c>
      <c r="Q172" s="1942" t="s">
        <v>85</v>
      </c>
      <c r="R172" s="1943"/>
      <c r="S172" s="1943">
        <f>(SUM('3B Gestión Estiércol N2O Ind'!AG34:AG37)/1000000)*RESULTADOS!E$58</f>
        <v>36.811864662076218</v>
      </c>
    </row>
    <row r="173" spans="13:19" ht="16.5">
      <c r="M173" s="1935">
        <v>68</v>
      </c>
      <c r="N173" s="1940" t="s">
        <v>127</v>
      </c>
      <c r="O173" s="1937" t="s">
        <v>315</v>
      </c>
      <c r="P173" s="1941" t="s">
        <v>937</v>
      </c>
      <c r="Q173" s="1942" t="s">
        <v>85</v>
      </c>
      <c r="R173" s="1943"/>
      <c r="S173" s="1943">
        <f>(SUM('3B Gestión Estiércol N2O Ind'!AG27:AG32)/1000000)*RESULTADOS!E$58</f>
        <v>2.0352051169910088</v>
      </c>
    </row>
    <row r="174" spans="13:19" ht="16.5">
      <c r="M174" s="1935">
        <v>69</v>
      </c>
      <c r="N174" s="1940" t="s">
        <v>129</v>
      </c>
      <c r="O174" s="1937" t="s">
        <v>315</v>
      </c>
      <c r="P174" s="1941" t="s">
        <v>940</v>
      </c>
      <c r="Q174" s="1942" t="s">
        <v>85</v>
      </c>
      <c r="R174" s="1943"/>
      <c r="S174" s="1943">
        <f>(('3C4 Suelos Agricolas N2O Direct'!P21*(44/28))/1000000)*RESULTADOS!E$58</f>
        <v>10.994886282285714</v>
      </c>
    </row>
    <row r="175" spans="13:19" ht="16.5">
      <c r="M175" s="1935">
        <v>70</v>
      </c>
      <c r="N175" s="1940" t="s">
        <v>129</v>
      </c>
      <c r="O175" s="1937" t="s">
        <v>315</v>
      </c>
      <c r="P175" s="1941" t="s">
        <v>942</v>
      </c>
      <c r="Q175" s="1942" t="s">
        <v>85</v>
      </c>
      <c r="R175" s="1943"/>
      <c r="S175" s="1943">
        <f>(('3C4 Suelos Agricolas N2O Direct'!S21*(44/28))/1000000)*RESULTADOS!E$58</f>
        <v>230.1457292739795</v>
      </c>
    </row>
    <row r="176" spans="13:19" ht="16.5">
      <c r="M176" s="1935">
        <v>71</v>
      </c>
      <c r="N176" s="1940" t="s">
        <v>129</v>
      </c>
      <c r="O176" s="1937" t="s">
        <v>315</v>
      </c>
      <c r="P176" s="1941" t="s">
        <v>939</v>
      </c>
      <c r="Q176" s="1942" t="s">
        <v>85</v>
      </c>
      <c r="R176" s="1943"/>
      <c r="S176" s="1943">
        <f>(('3C4 Suelos Agricolas N2O Direct'!I14+'3C4 Suelos Agricolas N2O Direct'!I18)/1000000)*(44/28)*(RESULTADOS!E$58)</f>
        <v>795.11499398332921</v>
      </c>
    </row>
    <row r="177" spans="13:19" ht="16.5">
      <c r="M177" s="1935">
        <v>72</v>
      </c>
      <c r="N177" s="1940" t="s">
        <v>161</v>
      </c>
      <c r="O177" s="1937" t="s">
        <v>315</v>
      </c>
      <c r="P177" s="1941" t="s">
        <v>2206</v>
      </c>
      <c r="Q177" s="1942" t="s">
        <v>85</v>
      </c>
      <c r="R177" s="1943"/>
      <c r="S177" s="1943">
        <f>(('3C4 Suelos Agricolas N2O Direct'!I15+'3C4 Suelos Agricolas N2O Direct'!I19)/1000000)*(44/28)*(RESULTADOS!E$58)</f>
        <v>132.33896300747745</v>
      </c>
    </row>
    <row r="178" spans="13:19" ht="16.5">
      <c r="M178" s="1935">
        <v>73</v>
      </c>
      <c r="N178" s="1940" t="s">
        <v>129</v>
      </c>
      <c r="O178" s="1937" t="s">
        <v>315</v>
      </c>
      <c r="P178" s="1941" t="s">
        <v>941</v>
      </c>
      <c r="Q178" s="1942" t="s">
        <v>85</v>
      </c>
      <c r="R178" s="1943"/>
      <c r="S178" s="1943">
        <f>(('3C4 Suelos Agricolas N2O Direct'!I16+'3C4 Suelos Agricolas N2O Direct'!I20)/1000000)*(44/28)*(RESULTADOS!E$58)</f>
        <v>401.10512625950338</v>
      </c>
    </row>
    <row r="179" spans="13:19" ht="16.5">
      <c r="M179" s="1935">
        <v>74</v>
      </c>
      <c r="N179" s="1940" t="s">
        <v>161</v>
      </c>
      <c r="O179" s="1937" t="s">
        <v>315</v>
      </c>
      <c r="P179" s="1941" t="s">
        <v>944</v>
      </c>
      <c r="Q179" s="1942" t="s">
        <v>85</v>
      </c>
      <c r="R179" s="1943"/>
      <c r="S179" s="1943">
        <f>('3C5 Suelos Agricolas N2O Indire'!I15/1000000)*(44/28)*(RESULTADOS!E$58)</f>
        <v>241.95147194348121</v>
      </c>
    </row>
    <row r="180" spans="13:19" ht="16.5">
      <c r="M180" s="1935">
        <v>75</v>
      </c>
      <c r="N180" s="1940" t="s">
        <v>161</v>
      </c>
      <c r="O180" s="1937" t="s">
        <v>315</v>
      </c>
      <c r="P180" s="1941" t="s">
        <v>943</v>
      </c>
      <c r="Q180" s="1942" t="s">
        <v>85</v>
      </c>
      <c r="R180" s="1943"/>
      <c r="S180" s="1943">
        <f>('3C5 Suelos Agricolas N2O Indire'!T18/1000000)*(44/28)*(RESULTADOS!E$58)</f>
        <v>524.95558067329853</v>
      </c>
    </row>
    <row r="181" spans="13:19" ht="16.5">
      <c r="M181" s="1935">
        <v>76</v>
      </c>
      <c r="N181" s="1940" t="s">
        <v>202</v>
      </c>
      <c r="O181" s="1937" t="s">
        <v>315</v>
      </c>
      <c r="P181" s="1941" t="s">
        <v>938</v>
      </c>
      <c r="Q181" s="1942" t="s">
        <v>84</v>
      </c>
      <c r="R181" s="1943"/>
      <c r="S181" s="1943">
        <f>'3C7 Arroz'!Q24*RESULTADOS!E$57</f>
        <v>1056.5535555512622</v>
      </c>
    </row>
    <row r="182" spans="13:19" ht="16.5">
      <c r="M182" s="1935">
        <v>77</v>
      </c>
      <c r="N182" s="1940" t="s">
        <v>259</v>
      </c>
      <c r="O182" s="1937" t="s">
        <v>315</v>
      </c>
      <c r="P182" s="1941" t="s">
        <v>945</v>
      </c>
      <c r="Q182" s="1942" t="s">
        <v>83</v>
      </c>
      <c r="R182" s="1943"/>
      <c r="S182" s="1943">
        <f>RESULTADOS!N10</f>
        <v>21.429287431628282</v>
      </c>
    </row>
    <row r="183" spans="13:19" ht="16.5">
      <c r="M183" s="1935">
        <v>78</v>
      </c>
      <c r="N183" s="1940" t="s">
        <v>104</v>
      </c>
      <c r="O183" s="1937" t="s">
        <v>315</v>
      </c>
      <c r="P183" s="1941" t="s">
        <v>854</v>
      </c>
      <c r="Q183" s="1942" t="s">
        <v>83</v>
      </c>
      <c r="R183" s="1943"/>
      <c r="S183" s="1943">
        <f>RESULTADOS!N11</f>
        <v>208.83837333333335</v>
      </c>
    </row>
    <row r="184" spans="13:19" ht="16.5">
      <c r="M184" s="1935">
        <v>79</v>
      </c>
      <c r="N184" s="1940" t="s">
        <v>1079</v>
      </c>
      <c r="O184" s="1937" t="s">
        <v>315</v>
      </c>
      <c r="P184" s="1941" t="s">
        <v>2196</v>
      </c>
      <c r="Q184" s="1942" t="s">
        <v>83</v>
      </c>
      <c r="R184" s="1943"/>
      <c r="S184" s="1943">
        <f>RESULTADOS!N15</f>
        <v>54.640362730948411</v>
      </c>
    </row>
  </sheetData>
  <autoFilter ref="A11:W11" xr:uid="{36191A14-E5AD-4567-990D-6B4392C05A44}">
    <sortState xmlns:xlrd2="http://schemas.microsoft.com/office/spreadsheetml/2017/richdata2" ref="A55:W90">
      <sortCondition descending="1" ref="T11"/>
    </sortState>
  </autoFilter>
  <mergeCells count="7">
    <mergeCell ref="N8:W8"/>
    <mergeCell ref="F9:G9"/>
    <mergeCell ref="H9:I9"/>
    <mergeCell ref="B4:K4"/>
    <mergeCell ref="B5:K5"/>
    <mergeCell ref="B6:K6"/>
    <mergeCell ref="B8:K8"/>
  </mergeCells>
  <phoneticPr fontId="59" type="noConversion"/>
  <conditionalFormatting sqref="T11:W11 K11:K91 W12:W91">
    <cfRule type="cellIs" dxfId="12" priority="4" operator="lessThan">
      <formula>0.96</formula>
    </cfRule>
  </conditionalFormatting>
  <conditionalFormatting sqref="V12:V91">
    <cfRule type="cellIs" dxfId="11" priority="1" operator="lessThan">
      <formula>95%</formula>
    </cfRule>
  </conditionalFormatting>
  <hyperlinks>
    <hyperlink ref="I2" location="INDICE!A1" display="INDICE" xr:uid="{21B06ED0-9CEA-4786-9C1E-7CB20F49160B}"/>
  </hyperlink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CF03-977F-45BE-A9DF-37D6EA7ED085}">
  <sheetPr>
    <tabColor theme="5" tint="-0.499984740745262"/>
    <pageSetUpPr fitToPage="1"/>
  </sheetPr>
  <dimension ref="A1:K77"/>
  <sheetViews>
    <sheetView showGridLines="0" zoomScale="90" zoomScaleNormal="90" zoomScaleSheetLayoutView="100" workbookViewId="0">
      <pane xSplit="2" ySplit="9" topLeftCell="C42" activePane="bottomRight" state="frozen"/>
      <selection activeCell="J16" sqref="J16"/>
      <selection pane="topRight" activeCell="J16" sqref="J16"/>
      <selection pane="bottomLeft" activeCell="J16" sqref="J16"/>
      <selection pane="bottomRight" activeCell="D57" sqref="D57"/>
    </sheetView>
  </sheetViews>
  <sheetFormatPr defaultColWidth="7.33203125" defaultRowHeight="12" customHeight="1"/>
  <cols>
    <col min="1" max="1" width="1.6640625" style="929" customWidth="1"/>
    <col min="2" max="2" width="44.1640625" style="929" bestFit="1" customWidth="1"/>
    <col min="3" max="9" width="17" style="929" customWidth="1"/>
    <col min="10" max="10" width="19.6640625" style="929" customWidth="1"/>
    <col min="11" max="11" width="9.33203125" style="929" bestFit="1" customWidth="1"/>
    <col min="12" max="16384" width="7.33203125" style="929"/>
  </cols>
  <sheetData>
    <row r="1" spans="1:11" ht="15.75" customHeight="1">
      <c r="B1" s="930" t="s">
        <v>1454</v>
      </c>
      <c r="D1" s="1962" t="s">
        <v>84</v>
      </c>
      <c r="E1" s="1962">
        <f>RESULTADOS!E57</f>
        <v>28</v>
      </c>
      <c r="G1" s="931"/>
      <c r="H1" s="931"/>
      <c r="I1" s="931"/>
      <c r="J1" s="931" t="s">
        <v>1455</v>
      </c>
      <c r="K1" s="929">
        <v>2018</v>
      </c>
    </row>
    <row r="2" spans="1:11" ht="15.75" customHeight="1">
      <c r="B2" s="930" t="s">
        <v>1456</v>
      </c>
      <c r="D2" s="1962" t="s">
        <v>956</v>
      </c>
      <c r="E2" s="1962">
        <f>RESULTADOS!E58</f>
        <v>265</v>
      </c>
      <c r="G2" s="931"/>
      <c r="H2" s="931"/>
      <c r="I2" s="931"/>
      <c r="J2" s="931" t="s">
        <v>1457</v>
      </c>
    </row>
    <row r="3" spans="1:11" ht="12" customHeight="1">
      <c r="G3" s="931"/>
      <c r="H3" s="931"/>
      <c r="I3" s="931"/>
      <c r="J3" s="931" t="s">
        <v>1458</v>
      </c>
      <c r="K3" s="929" t="s">
        <v>2243</v>
      </c>
    </row>
    <row r="4" spans="1:11" ht="12" hidden="1" customHeight="1">
      <c r="A4" s="929" t="s">
        <v>1089</v>
      </c>
      <c r="G4" s="931"/>
      <c r="H4" s="931"/>
      <c r="I4" s="931"/>
      <c r="J4" s="931"/>
    </row>
    <row r="5" spans="1:11" ht="12" hidden="1" customHeight="1">
      <c r="A5" s="929" t="s">
        <v>1089</v>
      </c>
      <c r="G5" s="931"/>
      <c r="H5" s="931"/>
      <c r="I5" s="931"/>
      <c r="J5" s="931"/>
    </row>
    <row r="6" spans="1:11" ht="12" customHeight="1">
      <c r="G6" s="931"/>
      <c r="H6" s="931"/>
      <c r="I6" s="931"/>
      <c r="J6" s="931"/>
    </row>
    <row r="7" spans="1:11" ht="12" customHeight="1" thickBot="1">
      <c r="B7" s="932" t="s">
        <v>1459</v>
      </c>
      <c r="G7" s="933"/>
    </row>
    <row r="8" spans="1:11" ht="13.5" customHeight="1">
      <c r="B8" s="934" t="s">
        <v>1460</v>
      </c>
      <c r="C8" s="935" t="s">
        <v>1461</v>
      </c>
      <c r="D8" s="936" t="s">
        <v>1462</v>
      </c>
      <c r="E8" s="936" t="s">
        <v>1463</v>
      </c>
      <c r="F8" s="936" t="s">
        <v>1464</v>
      </c>
      <c r="G8" s="937" t="s">
        <v>1068</v>
      </c>
      <c r="H8" s="938" t="s">
        <v>1465</v>
      </c>
      <c r="I8" s="939" t="s">
        <v>1466</v>
      </c>
      <c r="J8" s="940" t="s">
        <v>1467</v>
      </c>
    </row>
    <row r="9" spans="1:11" ht="12.75" customHeight="1" thickBot="1">
      <c r="B9" s="941" t="s">
        <v>1468</v>
      </c>
      <c r="C9" s="942" t="s">
        <v>1469</v>
      </c>
      <c r="D9" s="942"/>
      <c r="E9" s="942"/>
      <c r="F9" s="942"/>
      <c r="G9" s="942"/>
      <c r="H9" s="943"/>
      <c r="I9" s="943"/>
      <c r="J9" s="944" t="s">
        <v>1470</v>
      </c>
    </row>
    <row r="10" spans="1:11" ht="18" customHeight="1" thickTop="1" thickBot="1">
      <c r="B10" s="945" t="s">
        <v>1471</v>
      </c>
      <c r="C10" s="1036">
        <f>SUM(C11:C57)</f>
        <v>230.26766076496165</v>
      </c>
      <c r="D10" s="1036">
        <f>D11+D25+D40+D52</f>
        <v>9435.1434220217998</v>
      </c>
      <c r="E10" s="1036">
        <f>E25+E41+E52</f>
        <v>2712.4231297030992</v>
      </c>
      <c r="F10" s="1041">
        <f>F52</f>
        <v>1.450885893015093</v>
      </c>
      <c r="G10" s="1041">
        <f>G52</f>
        <v>53.392600862955433</v>
      </c>
      <c r="H10" s="1960" t="s">
        <v>2211</v>
      </c>
      <c r="I10" s="1961" t="s">
        <v>2211</v>
      </c>
      <c r="J10" s="2095">
        <f>C10+D10+E10</f>
        <v>12377.834212489859</v>
      </c>
    </row>
    <row r="11" spans="1:11" ht="18" customHeight="1">
      <c r="B11" s="946" t="s">
        <v>1472</v>
      </c>
      <c r="C11" s="947"/>
      <c r="D11" s="1028">
        <f>D12+SUM(D22:D24)</f>
        <v>7891.6240362016424</v>
      </c>
      <c r="E11" s="948"/>
      <c r="F11" s="948"/>
      <c r="G11" s="948"/>
      <c r="H11" s="949"/>
      <c r="I11" s="950"/>
      <c r="J11" s="1963">
        <f>(D11)+(E11)</f>
        <v>7891.6240362016424</v>
      </c>
    </row>
    <row r="12" spans="1:11" ht="18" customHeight="1">
      <c r="B12" s="951" t="s">
        <v>1473</v>
      </c>
      <c r="C12" s="952"/>
      <c r="D12" s="1022">
        <f>D17</f>
        <v>7587.1210163245887</v>
      </c>
      <c r="E12" s="954"/>
      <c r="F12" s="954"/>
      <c r="G12" s="954"/>
      <c r="H12" s="955"/>
      <c r="I12" s="950"/>
      <c r="J12" s="1963">
        <f>(D12)+(E12)</f>
        <v>7587.1210163245887</v>
      </c>
    </row>
    <row r="13" spans="1:11" ht="18" customHeight="1">
      <c r="B13" s="957" t="s">
        <v>1474</v>
      </c>
      <c r="C13" s="958"/>
      <c r="D13" s="959"/>
      <c r="E13" s="960"/>
      <c r="F13" s="960"/>
      <c r="G13" s="960"/>
      <c r="H13" s="961"/>
      <c r="I13" s="962"/>
      <c r="J13" s="963"/>
    </row>
    <row r="14" spans="1:11" ht="18" customHeight="1">
      <c r="B14" s="964" t="s">
        <v>1475</v>
      </c>
      <c r="C14" s="965"/>
      <c r="D14" s="953"/>
      <c r="E14" s="960"/>
      <c r="F14" s="960"/>
      <c r="G14" s="960"/>
      <c r="H14" s="961"/>
      <c r="I14" s="962"/>
      <c r="J14" s="956"/>
    </row>
    <row r="15" spans="1:11" ht="18" customHeight="1">
      <c r="B15" s="964" t="s">
        <v>1476</v>
      </c>
      <c r="C15" s="965"/>
      <c r="D15" s="953"/>
      <c r="E15" s="960"/>
      <c r="F15" s="960"/>
      <c r="G15" s="960"/>
      <c r="H15" s="961"/>
      <c r="I15" s="962"/>
      <c r="J15" s="956"/>
    </row>
    <row r="16" spans="1:11" ht="18" customHeight="1">
      <c r="B16" s="957" t="s">
        <v>1477</v>
      </c>
      <c r="C16" s="958"/>
      <c r="D16" s="966"/>
      <c r="E16" s="960"/>
      <c r="F16" s="960"/>
      <c r="G16" s="960"/>
      <c r="H16" s="961"/>
      <c r="I16" s="962"/>
      <c r="J16" s="967"/>
    </row>
    <row r="17" spans="2:10" ht="18" customHeight="1">
      <c r="B17" s="964" t="s">
        <v>1478</v>
      </c>
      <c r="C17" s="968"/>
      <c r="D17" s="1022">
        <f>SUM(D18:D20)</f>
        <v>7587.1210163245887</v>
      </c>
      <c r="E17" s="960"/>
      <c r="F17" s="960"/>
      <c r="G17" s="960"/>
      <c r="H17" s="961"/>
      <c r="I17" s="962"/>
      <c r="J17" s="1963">
        <f>(D17)+(E17)</f>
        <v>7587.1210163245887</v>
      </c>
    </row>
    <row r="18" spans="2:10" ht="18" customHeight="1">
      <c r="B18" s="969" t="s">
        <v>1479</v>
      </c>
      <c r="C18" s="968"/>
      <c r="D18" s="1021">
        <f>SUM('3A1 Fermentación E.'!F13:F15)*E1</f>
        <v>2191.1986997326208</v>
      </c>
      <c r="E18" s="960"/>
      <c r="F18" s="960"/>
      <c r="G18" s="960"/>
      <c r="H18" s="961"/>
      <c r="I18" s="962"/>
      <c r="J18" s="1963">
        <f>(D18)+(E18)</f>
        <v>2191.1986997326208</v>
      </c>
    </row>
    <row r="19" spans="2:10" ht="18" customHeight="1">
      <c r="B19" s="969" t="s">
        <v>1480</v>
      </c>
      <c r="C19" s="968"/>
      <c r="D19" s="1021">
        <f>SUM('3A1 Fermentación E.'!F16:F21)*E1</f>
        <v>2333.0673770350259</v>
      </c>
      <c r="E19" s="960"/>
      <c r="F19" s="960"/>
      <c r="G19" s="960"/>
      <c r="H19" s="961"/>
      <c r="I19" s="962"/>
      <c r="J19" s="1963">
        <f>(D19)+(E19)</f>
        <v>2333.0673770350259</v>
      </c>
    </row>
    <row r="20" spans="2:10" ht="18" customHeight="1">
      <c r="B20" s="969" t="s">
        <v>1481</v>
      </c>
      <c r="C20" s="968"/>
      <c r="D20" s="1021">
        <f>SUM('3A1 Fermentación E.'!F22:F24)*E1</f>
        <v>3062.854939556943</v>
      </c>
      <c r="E20" s="960"/>
      <c r="F20" s="960"/>
      <c r="G20" s="960"/>
      <c r="H20" s="961"/>
      <c r="I20" s="962"/>
      <c r="J20" s="1963">
        <f>(D20)+(E20)</f>
        <v>3062.854939556943</v>
      </c>
    </row>
    <row r="21" spans="2:10" ht="18" customHeight="1">
      <c r="B21" s="969" t="s">
        <v>1482</v>
      </c>
      <c r="C21" s="968"/>
      <c r="D21" s="953" t="s">
        <v>2211</v>
      </c>
      <c r="E21" s="960"/>
      <c r="F21" s="960"/>
      <c r="G21" s="960"/>
      <c r="H21" s="961"/>
      <c r="I21" s="962"/>
      <c r="J21" s="1963"/>
    </row>
    <row r="22" spans="2:10" ht="18" customHeight="1">
      <c r="B22" s="951" t="s">
        <v>1483</v>
      </c>
      <c r="C22" s="968"/>
      <c r="D22" s="1021">
        <f>'3A1 Fermentación E.'!F26*E1</f>
        <v>69.853281804402172</v>
      </c>
      <c r="E22" s="960"/>
      <c r="F22" s="960"/>
      <c r="G22" s="960"/>
      <c r="H22" s="961"/>
      <c r="I22" s="962"/>
      <c r="J22" s="1963">
        <f>(D22)+(E22)</f>
        <v>69.853281804402172</v>
      </c>
    </row>
    <row r="23" spans="2:10" ht="18" customHeight="1">
      <c r="B23" s="951" t="s">
        <v>1484</v>
      </c>
      <c r="C23" s="968"/>
      <c r="D23" s="1021">
        <f>'3A1 Fermentación E.'!F31*E1</f>
        <v>47.114537128181183</v>
      </c>
      <c r="E23" s="960"/>
      <c r="F23" s="960"/>
      <c r="G23" s="960"/>
      <c r="H23" s="961"/>
      <c r="I23" s="962"/>
      <c r="J23" s="1963">
        <f>(D23)+(E23)</f>
        <v>47.114537128181183</v>
      </c>
    </row>
    <row r="24" spans="2:10" ht="18" customHeight="1" thickBot="1">
      <c r="B24" s="970" t="s">
        <v>1485</v>
      </c>
      <c r="C24" s="971"/>
      <c r="D24" s="1023">
        <f>('3A1 Fermentación E.'!F25+'3A1 Fermentación E.'!F27+'3A1 Fermentación E.'!F28+'3A1 Fermentación E.'!F29+'3A1 Fermentación E.'!F30)*E1</f>
        <v>187.53520094447046</v>
      </c>
      <c r="E24" s="972"/>
      <c r="F24" s="972"/>
      <c r="G24" s="972"/>
      <c r="H24" s="973"/>
      <c r="I24" s="974"/>
      <c r="J24" s="1963">
        <f>(D24)+(E24)</f>
        <v>187.53520094447046</v>
      </c>
    </row>
    <row r="25" spans="2:10" ht="18" customHeight="1">
      <c r="B25" s="975" t="s">
        <v>1486</v>
      </c>
      <c r="C25" s="952"/>
      <c r="D25" s="1027">
        <f>D26+SUM(D36:D38)</f>
        <v>443.09104086412026</v>
      </c>
      <c r="E25" s="1031">
        <f>E26+E36+E37+E38+E39</f>
        <v>365.05080495357186</v>
      </c>
      <c r="F25" s="976"/>
      <c r="G25" s="976"/>
      <c r="H25" s="1964" t="s">
        <v>2211</v>
      </c>
      <c r="I25" s="962"/>
      <c r="J25" s="1963">
        <f>(D25+(E25))</f>
        <v>808.14184581769211</v>
      </c>
    </row>
    <row r="26" spans="2:10" ht="18" customHeight="1">
      <c r="B26" s="951" t="s">
        <v>1487</v>
      </c>
      <c r="C26" s="968"/>
      <c r="D26" s="1022">
        <f>SUM(D32:D34)</f>
        <v>216.26125077928037</v>
      </c>
      <c r="E26" s="1029">
        <f>SUM(E32:E34)</f>
        <v>30.591116522487052</v>
      </c>
      <c r="F26" s="977"/>
      <c r="G26" s="977"/>
      <c r="H26" s="1964" t="s">
        <v>2211</v>
      </c>
      <c r="I26" s="962"/>
      <c r="J26" s="1963">
        <f>(D26)+(E26)</f>
        <v>246.85236730176743</v>
      </c>
    </row>
    <row r="27" spans="2:10" ht="18" customHeight="1">
      <c r="B27" s="957" t="s">
        <v>1474</v>
      </c>
      <c r="C27" s="958"/>
      <c r="D27" s="959"/>
      <c r="E27" s="960"/>
      <c r="F27" s="960"/>
      <c r="G27" s="960"/>
      <c r="H27" s="1965"/>
      <c r="I27" s="962"/>
      <c r="J27" s="963"/>
    </row>
    <row r="28" spans="2:10" ht="18" customHeight="1">
      <c r="B28" s="964" t="s">
        <v>1488</v>
      </c>
      <c r="C28" s="965"/>
      <c r="D28" s="953"/>
      <c r="E28" s="953"/>
      <c r="F28" s="960"/>
      <c r="G28" s="960"/>
      <c r="H28" s="1966"/>
      <c r="I28" s="962"/>
      <c r="J28" s="956"/>
    </row>
    <row r="29" spans="2:10" ht="18" customHeight="1">
      <c r="B29" s="964" t="s">
        <v>1489</v>
      </c>
      <c r="C29" s="965"/>
      <c r="D29" s="953"/>
      <c r="E29" s="953"/>
      <c r="F29" s="960"/>
      <c r="G29" s="960"/>
      <c r="H29" s="1966"/>
      <c r="I29" s="962"/>
      <c r="J29" s="956"/>
    </row>
    <row r="30" spans="2:10" ht="18" customHeight="1">
      <c r="B30" s="957" t="s">
        <v>1477</v>
      </c>
      <c r="C30" s="958"/>
      <c r="D30" s="966"/>
      <c r="E30" s="960"/>
      <c r="F30" s="960"/>
      <c r="G30" s="960"/>
      <c r="H30" s="1965"/>
      <c r="I30" s="962"/>
      <c r="J30" s="967"/>
    </row>
    <row r="31" spans="2:10" ht="18" customHeight="1">
      <c r="B31" s="964" t="s">
        <v>1490</v>
      </c>
      <c r="C31" s="968"/>
      <c r="D31" s="1021">
        <f>SUM(D32:D35)</f>
        <v>216.26125077928037</v>
      </c>
      <c r="E31" s="1021">
        <f>SUM(E32:E35)</f>
        <v>30.591116522487052</v>
      </c>
      <c r="F31" s="960"/>
      <c r="G31" s="960"/>
      <c r="H31" s="1967" t="s">
        <v>2211</v>
      </c>
      <c r="I31" s="962"/>
      <c r="J31" s="1963">
        <f>SUM(C31:E31)</f>
        <v>246.85236730176743</v>
      </c>
    </row>
    <row r="32" spans="2:10" ht="18" customHeight="1">
      <c r="B32" s="969" t="s">
        <v>1491</v>
      </c>
      <c r="C32" s="968"/>
      <c r="D32" s="1021">
        <f>E1*SUM('3B Manejo de Estiércol CH4'!T13:T15)/1000000</f>
        <v>24.462393235374915</v>
      </c>
      <c r="E32" s="1026">
        <f>E2*SUM('3B Gestión Estiércol N2O Dir'!U15:U17)/1000000</f>
        <v>23.215372188513616</v>
      </c>
      <c r="F32" s="960"/>
      <c r="G32" s="960"/>
      <c r="H32" s="1967" t="s">
        <v>2211</v>
      </c>
      <c r="I32" s="962"/>
      <c r="J32" s="1963">
        <f t="shared" ref="J32:J54" si="0">SUM(C32:E32)</f>
        <v>47.67776542388853</v>
      </c>
    </row>
    <row r="33" spans="2:10" ht="18" customHeight="1">
      <c r="B33" s="969" t="s">
        <v>1492</v>
      </c>
      <c r="C33" s="968"/>
      <c r="D33" s="1025">
        <f>E1*SUM('3B Manejo de Estiércol CH4'!T16:T21)/1000000</f>
        <v>105.10468256399501</v>
      </c>
      <c r="E33" s="1026">
        <f>E2*(SUM('3B Gestión Estiércol N2O Dir'!U18:U23))/1000000</f>
        <v>3.7077354833135696</v>
      </c>
      <c r="F33" s="960"/>
      <c r="G33" s="960"/>
      <c r="H33" s="1967" t="s">
        <v>2211</v>
      </c>
      <c r="I33" s="962"/>
      <c r="J33" s="1963">
        <f t="shared" si="0"/>
        <v>108.81241804730858</v>
      </c>
    </row>
    <row r="34" spans="2:10" ht="18" customHeight="1">
      <c r="B34" s="969" t="s">
        <v>1493</v>
      </c>
      <c r="C34" s="968"/>
      <c r="D34" s="1021">
        <f>E1*SUM('3B Manejo de Estiércol CH4'!T22:T24)/1000000</f>
        <v>86.694174979910457</v>
      </c>
      <c r="E34" s="1024">
        <f>E2*SUM('3B Gestión Estiércol N2O Dir'!U24:U26)/1000000</f>
        <v>3.6680088506598678</v>
      </c>
      <c r="F34" s="960"/>
      <c r="G34" s="960"/>
      <c r="H34" s="1967" t="s">
        <v>2211</v>
      </c>
      <c r="I34" s="962"/>
      <c r="J34" s="1963">
        <f t="shared" si="0"/>
        <v>90.362183830570331</v>
      </c>
    </row>
    <row r="35" spans="2:10" ht="18" customHeight="1">
      <c r="B35" s="969" t="s">
        <v>1494</v>
      </c>
      <c r="C35" s="968"/>
      <c r="D35" s="953" t="s">
        <v>2211</v>
      </c>
      <c r="E35" s="953" t="s">
        <v>2211</v>
      </c>
      <c r="F35" s="960"/>
      <c r="G35" s="960"/>
      <c r="H35" s="1967" t="s">
        <v>2211</v>
      </c>
      <c r="I35" s="962"/>
      <c r="J35" s="1963">
        <f t="shared" si="0"/>
        <v>0</v>
      </c>
    </row>
    <row r="36" spans="2:10" ht="18" customHeight="1">
      <c r="B36" s="951" t="s">
        <v>1495</v>
      </c>
      <c r="C36" s="968"/>
      <c r="D36" s="1021">
        <f>E1*'3B Manejo de Estiércol CH4'!T26/1000000</f>
        <v>1.0758787095792026</v>
      </c>
      <c r="E36" s="1024">
        <f>E2*'3B Gestión Estiércol N2O Dir'!U28/1000000</f>
        <v>1.5046442519137981</v>
      </c>
      <c r="F36" s="977"/>
      <c r="G36" s="977"/>
      <c r="H36" s="1966" t="s">
        <v>2211</v>
      </c>
      <c r="I36" s="962"/>
      <c r="J36" s="1963">
        <f t="shared" si="0"/>
        <v>2.580522961493001</v>
      </c>
    </row>
    <row r="37" spans="2:10" ht="18" customHeight="1">
      <c r="B37" s="951" t="s">
        <v>1496</v>
      </c>
      <c r="C37" s="968"/>
      <c r="D37" s="1021">
        <f>E1*'3B Manejo de Estiércol CH4'!T31/1000000</f>
        <v>198.82632455524379</v>
      </c>
      <c r="E37" s="1024">
        <f>E2*'3B Gestión Estiércol N2O Dir'!U33/1000000</f>
        <v>101.10138272994969</v>
      </c>
      <c r="F37" s="977"/>
      <c r="G37" s="977"/>
      <c r="H37" s="1966" t="s">
        <v>2211</v>
      </c>
      <c r="I37" s="962"/>
      <c r="J37" s="1963">
        <f t="shared" si="0"/>
        <v>299.92770728519349</v>
      </c>
    </row>
    <row r="38" spans="2:10" ht="18" customHeight="1">
      <c r="B38" s="951" t="s">
        <v>1497</v>
      </c>
      <c r="C38" s="968"/>
      <c r="D38" s="1021">
        <f>E1*('3B Manejo de Estiércol CH4'!T25+'3B Manejo de Estiércol CH4'!T27+'3B Manejo de Estiércol CH4'!T28+'3B Manejo de Estiércol CH4'!T29+'3B Manejo de Estiércol CH4'!T30+'3B Manejo de Estiércol CH4'!T32+'3B Manejo de Estiércol CH4'!T33+'3B Manejo de Estiércol CH4'!T34+'3B Manejo de Estiércol CH4'!T35)/1000000</f>
        <v>26.927586820016913</v>
      </c>
      <c r="E38" s="1024">
        <f>E2*('3B Gestión Estiércol N2O Dir'!U27+'3B Gestión Estiércol N2O Dir'!U29+'3B Gestión Estiércol N2O Dir'!U30+'3B Gestión Estiércol N2O Dir'!U31+'3B Gestión Estiércol N2O Dir'!U32+'3B Gestión Estiércol N2O Dir'!U35+'3B Gestión Estiércol N2O Dir'!U36+'3B Gestión Estiércol N2O Dir'!U37+'3B Gestión Estiércol N2O Dir'!U34)/1000000</f>
        <v>138.63566622587933</v>
      </c>
      <c r="F38" s="977"/>
      <c r="G38" s="977"/>
      <c r="H38" s="1966" t="s">
        <v>2211</v>
      </c>
      <c r="I38" s="962"/>
      <c r="J38" s="1963">
        <f t="shared" si="0"/>
        <v>165.56325304589626</v>
      </c>
    </row>
    <row r="39" spans="2:10" ht="18" customHeight="1" thickBot="1">
      <c r="B39" s="970" t="s">
        <v>1498</v>
      </c>
      <c r="C39" s="978"/>
      <c r="D39" s="979"/>
      <c r="E39" s="1030">
        <f>E2*'3B Gestión Estiércol N2O Ind'!AG38/1000000</f>
        <v>93.217995223341987</v>
      </c>
      <c r="F39" s="980"/>
      <c r="G39" s="980"/>
      <c r="H39" s="1968"/>
      <c r="I39" s="981"/>
      <c r="J39" s="982"/>
    </row>
    <row r="40" spans="2:10" ht="18" customHeight="1">
      <c r="B40" s="983" t="s">
        <v>1499</v>
      </c>
      <c r="C40" s="984"/>
      <c r="D40" s="1032">
        <f>'3C7 Arroz'!Q24*E1</f>
        <v>1056.5535555512622</v>
      </c>
      <c r="E40" s="985"/>
      <c r="F40" s="985"/>
      <c r="G40" s="985"/>
      <c r="H40" s="1969" t="s">
        <v>2211</v>
      </c>
      <c r="I40" s="962"/>
      <c r="J40" s="1963">
        <f t="shared" si="0"/>
        <v>1056.5535555512622</v>
      </c>
    </row>
    <row r="41" spans="2:10" ht="18" customHeight="1">
      <c r="B41" s="986" t="s">
        <v>1500</v>
      </c>
      <c r="C41" s="987"/>
      <c r="D41" s="1139" t="s">
        <v>2211</v>
      </c>
      <c r="E41" s="2094">
        <f>E42+E50</f>
        <v>2336.606751423355</v>
      </c>
      <c r="F41" s="1971" t="s">
        <v>2212</v>
      </c>
      <c r="G41" s="1971" t="s">
        <v>2212</v>
      </c>
      <c r="H41" s="1970" t="s">
        <v>2212</v>
      </c>
      <c r="I41" s="962"/>
      <c r="J41" s="1963">
        <f t="shared" si="0"/>
        <v>2336.606751423355</v>
      </c>
    </row>
    <row r="42" spans="2:10" ht="18" customHeight="1">
      <c r="B42" s="951" t="s">
        <v>1501</v>
      </c>
      <c r="C42" s="987"/>
      <c r="D42" s="987"/>
      <c r="E42" s="1034">
        <f>SUM(E43:E48)</f>
        <v>1569.6996988065753</v>
      </c>
      <c r="F42" s="987"/>
      <c r="G42" s="987"/>
      <c r="H42" s="987"/>
      <c r="I42" s="962"/>
      <c r="J42" s="1963">
        <f t="shared" si="0"/>
        <v>1569.6996988065753</v>
      </c>
    </row>
    <row r="43" spans="2:10" ht="18" customHeight="1">
      <c r="B43" s="964" t="s">
        <v>1502</v>
      </c>
      <c r="C43" s="987"/>
      <c r="D43" s="987"/>
      <c r="E43" s="1033">
        <f>E2*(('3C4 Suelos Agricolas N2O Direct'!I14+'3C4 Suelos Agricolas N2O Direct'!I18)/1000000)*(44/28)</f>
        <v>795.11499398332921</v>
      </c>
      <c r="F43" s="987"/>
      <c r="G43" s="987"/>
      <c r="H43" s="987"/>
      <c r="I43" s="962"/>
      <c r="J43" s="1963">
        <f t="shared" si="0"/>
        <v>795.11499398332921</v>
      </c>
    </row>
    <row r="44" spans="2:10" ht="18" customHeight="1">
      <c r="B44" s="964" t="s">
        <v>1503</v>
      </c>
      <c r="C44" s="987"/>
      <c r="D44" s="987"/>
      <c r="E44" s="1033">
        <f>E2*(('3C4 Suelos Agricolas N2O Direct'!I15+'3C4 Suelos Agricolas N2O Direct'!I19)/1000000)*(44/28)</f>
        <v>132.33896300747745</v>
      </c>
      <c r="F44" s="987"/>
      <c r="G44" s="987"/>
      <c r="H44" s="987"/>
      <c r="I44" s="962"/>
      <c r="J44" s="1963">
        <f t="shared" si="0"/>
        <v>132.33896300747745</v>
      </c>
    </row>
    <row r="45" spans="2:10" ht="18" customHeight="1">
      <c r="B45" s="964" t="s">
        <v>1504</v>
      </c>
      <c r="C45" s="987"/>
      <c r="D45" s="987"/>
      <c r="E45" s="1033">
        <f>E2*('3C4 Suelos Agricolas N2O Direct'!S21/1000000)*(44/28)</f>
        <v>230.14572927397953</v>
      </c>
      <c r="F45" s="987"/>
      <c r="G45" s="987"/>
      <c r="H45" s="987"/>
      <c r="I45" s="962"/>
      <c r="J45" s="1963">
        <f t="shared" si="0"/>
        <v>230.14572927397953</v>
      </c>
    </row>
    <row r="46" spans="2:10" ht="18" customHeight="1">
      <c r="B46" s="964" t="s">
        <v>1505</v>
      </c>
      <c r="C46" s="987"/>
      <c r="D46" s="987"/>
      <c r="E46" s="1033">
        <f>E2*(('3C4 Suelos Agricolas N2O Direct'!I16+'3C4 Suelos Agricolas N2O Direct'!I20)/1000000)*(44/28)</f>
        <v>401.10512625950338</v>
      </c>
      <c r="F46" s="987"/>
      <c r="G46" s="987"/>
      <c r="H46" s="987"/>
      <c r="I46" s="962"/>
      <c r="J46" s="1963">
        <f t="shared" si="0"/>
        <v>401.10512625950338</v>
      </c>
    </row>
    <row r="47" spans="2:10" ht="23">
      <c r="B47" s="991" t="s">
        <v>1506</v>
      </c>
      <c r="C47" s="987"/>
      <c r="D47" s="987"/>
      <c r="E47" s="989" t="s">
        <v>2211</v>
      </c>
      <c r="F47" s="987"/>
      <c r="G47" s="987"/>
      <c r="H47" s="987"/>
      <c r="I47" s="962"/>
      <c r="J47" s="1963" t="s">
        <v>2211</v>
      </c>
    </row>
    <row r="48" spans="2:10" ht="18" customHeight="1">
      <c r="B48" s="964" t="s">
        <v>1507</v>
      </c>
      <c r="C48" s="987"/>
      <c r="D48" s="987"/>
      <c r="E48" s="1033">
        <f>E2*('3C4 Suelos Agricolas N2O Direct'!P21/1000000)*(44/28)</f>
        <v>10.994886282285716</v>
      </c>
      <c r="F48" s="987"/>
      <c r="G48" s="987"/>
      <c r="H48" s="987"/>
      <c r="I48" s="962"/>
      <c r="J48" s="1963">
        <f t="shared" si="0"/>
        <v>10.994886282285716</v>
      </c>
    </row>
    <row r="49" spans="2:10" ht="18" customHeight="1">
      <c r="B49" s="964" t="s">
        <v>1508</v>
      </c>
      <c r="C49" s="987"/>
      <c r="D49" s="987"/>
      <c r="E49" s="989"/>
      <c r="F49" s="987"/>
      <c r="G49" s="987"/>
      <c r="H49" s="987"/>
      <c r="I49" s="962"/>
      <c r="J49" s="1963">
        <f t="shared" ref="J49" si="1">(D49*$E$1)+(E49*$E$2)</f>
        <v>0</v>
      </c>
    </row>
    <row r="50" spans="2:10" ht="18" customHeight="1">
      <c r="B50" s="951" t="s">
        <v>1509</v>
      </c>
      <c r="C50" s="987"/>
      <c r="D50" s="987"/>
      <c r="E50" s="1034">
        <f>E2*(('3C5 Suelos Agricolas N2O Indire'!I18+'3C5 Suelos Agricolas N2O Indire'!T18)/1000000)*(44/28)</f>
        <v>766.90705261677965</v>
      </c>
      <c r="F50" s="987"/>
      <c r="G50" s="987"/>
      <c r="H50" s="987"/>
      <c r="I50" s="962"/>
      <c r="J50" s="1963">
        <f t="shared" si="0"/>
        <v>766.90705261677965</v>
      </c>
    </row>
    <row r="51" spans="2:10" ht="18" customHeight="1">
      <c r="B51" s="986" t="s">
        <v>1510</v>
      </c>
      <c r="C51" s="987"/>
      <c r="D51" s="1972" t="s">
        <v>2213</v>
      </c>
      <c r="E51" s="1972" t="s">
        <v>2213</v>
      </c>
      <c r="F51" s="1971" t="s">
        <v>2213</v>
      </c>
      <c r="G51" s="1971" t="s">
        <v>2213</v>
      </c>
      <c r="H51" s="990" t="s">
        <v>2211</v>
      </c>
      <c r="I51" s="992" t="s">
        <v>2211</v>
      </c>
      <c r="J51" s="1963" t="s">
        <v>2213</v>
      </c>
    </row>
    <row r="52" spans="2:10" ht="18" customHeight="1">
      <c r="B52" s="986" t="s">
        <v>1511</v>
      </c>
      <c r="C52" s="987"/>
      <c r="D52" s="1034">
        <f>E1*'3C1 Quema de biomasa'!J41/1000</f>
        <v>43.874789404776422</v>
      </c>
      <c r="E52" s="1034">
        <f>E2*'3C1 Quema de biomasa'!L43/1000</f>
        <v>10.765573326171992</v>
      </c>
      <c r="F52" s="1040">
        <f>'3C1 Quema de biomasa'!M44/1000</f>
        <v>1.450885893015093</v>
      </c>
      <c r="G52" s="1040">
        <f>'3C1 Quema de biomasa'!K42/1000</f>
        <v>53.392600862955433</v>
      </c>
      <c r="H52" s="990" t="s">
        <v>2211</v>
      </c>
      <c r="I52" s="992" t="s">
        <v>2211</v>
      </c>
      <c r="J52" s="1963">
        <f t="shared" si="0"/>
        <v>54.640362730948411</v>
      </c>
    </row>
    <row r="53" spans="2:10" ht="18" customHeight="1">
      <c r="B53" s="993" t="s">
        <v>1512</v>
      </c>
      <c r="C53" s="1035">
        <f>('3C2 Encalado'!G15/1000)*44/12</f>
        <v>21.429287431628282</v>
      </c>
      <c r="D53" s="994"/>
      <c r="E53" s="994"/>
      <c r="F53" s="994"/>
      <c r="G53" s="994"/>
      <c r="H53" s="995"/>
      <c r="I53" s="996"/>
      <c r="J53" s="1963">
        <f t="shared" si="0"/>
        <v>21.429287431628282</v>
      </c>
    </row>
    <row r="54" spans="2:10" ht="18" customHeight="1">
      <c r="B54" s="993" t="s">
        <v>1513</v>
      </c>
      <c r="C54" s="1035">
        <f>('3C3 UREA'!E17/1000)*44/12</f>
        <v>208.83837333333335</v>
      </c>
      <c r="D54" s="994"/>
      <c r="E54" s="994"/>
      <c r="F54" s="994"/>
      <c r="G54" s="994"/>
      <c r="H54" s="995"/>
      <c r="I54" s="996"/>
      <c r="J54" s="1963">
        <f t="shared" si="0"/>
        <v>208.83837333333335</v>
      </c>
    </row>
    <row r="55" spans="2:10" ht="18" customHeight="1">
      <c r="B55" s="975" t="s">
        <v>1514</v>
      </c>
      <c r="C55" s="2494" t="s">
        <v>2211</v>
      </c>
      <c r="D55" s="994"/>
      <c r="E55" s="994"/>
      <c r="F55" s="994"/>
      <c r="G55" s="994"/>
      <c r="H55" s="995"/>
      <c r="I55" s="996"/>
      <c r="J55" s="1973" t="s">
        <v>41</v>
      </c>
    </row>
    <row r="56" spans="2:10" ht="18" customHeight="1">
      <c r="B56" s="997" t="s">
        <v>1515</v>
      </c>
      <c r="C56" s="1974" t="s">
        <v>41</v>
      </c>
      <c r="D56" s="1974" t="s">
        <v>41</v>
      </c>
      <c r="E56" s="1974" t="s">
        <v>41</v>
      </c>
      <c r="F56" s="1974" t="s">
        <v>41</v>
      </c>
      <c r="G56" s="1974" t="s">
        <v>41</v>
      </c>
      <c r="H56" s="1974" t="s">
        <v>41</v>
      </c>
      <c r="I56" s="1974" t="s">
        <v>41</v>
      </c>
      <c r="J56" s="1975" t="s">
        <v>41</v>
      </c>
    </row>
    <row r="57" spans="2:10" ht="18" customHeight="1" thickBot="1">
      <c r="B57" s="998"/>
      <c r="C57" s="999"/>
      <c r="D57" s="1000"/>
      <c r="E57" s="1000"/>
      <c r="F57" s="1000"/>
      <c r="G57" s="1000"/>
      <c r="H57" s="1001"/>
      <c r="I57" s="1002"/>
      <c r="J57" s="1003"/>
    </row>
    <row r="58" spans="2:10" ht="12" customHeight="1">
      <c r="B58" s="1004"/>
      <c r="C58" s="1004"/>
      <c r="D58" s="1004"/>
      <c r="E58" s="1004"/>
      <c r="F58" s="1004"/>
      <c r="G58" s="1004"/>
    </row>
    <row r="59" spans="2:10" ht="12" customHeight="1">
      <c r="B59" s="1005"/>
      <c r="C59" s="1006"/>
      <c r="D59" s="1006"/>
      <c r="E59" s="1006"/>
      <c r="F59" s="1006"/>
      <c r="G59" s="1006"/>
    </row>
    <row r="60" spans="2:10" ht="12" customHeight="1">
      <c r="B60" s="1007"/>
      <c r="C60" s="1007"/>
      <c r="D60" s="1007"/>
      <c r="E60" s="1007"/>
      <c r="F60" s="1007"/>
      <c r="G60" s="1007"/>
    </row>
    <row r="61" spans="2:10" ht="12" customHeight="1">
      <c r="B61" s="1007"/>
      <c r="C61" s="1007"/>
      <c r="D61" s="1007"/>
      <c r="E61" s="1007"/>
      <c r="F61" s="1007"/>
      <c r="G61" s="1007"/>
    </row>
    <row r="62" spans="2:10" ht="12" customHeight="1">
      <c r="B62" s="1007"/>
      <c r="C62" s="1007"/>
      <c r="D62" s="1007"/>
      <c r="E62" s="1007"/>
      <c r="F62" s="1007"/>
      <c r="G62" s="1007"/>
    </row>
    <row r="63" spans="2:10" ht="12" customHeight="1">
      <c r="B63" s="1007"/>
      <c r="C63" s="1007"/>
      <c r="D63" s="1007"/>
      <c r="E63" s="1007"/>
      <c r="F63" s="1007"/>
      <c r="G63" s="1007"/>
    </row>
    <row r="64" spans="2:10" ht="12" customHeight="1">
      <c r="B64" s="1007"/>
      <c r="C64" s="1007"/>
      <c r="D64" s="1007"/>
      <c r="E64" s="1007"/>
      <c r="F64" s="1007"/>
      <c r="G64" s="1007"/>
    </row>
    <row r="65" spans="2:10" ht="12" customHeight="1">
      <c r="B65" s="1007"/>
      <c r="C65" s="1007"/>
      <c r="D65" s="1007"/>
      <c r="E65" s="1007"/>
      <c r="F65" s="1007"/>
      <c r="G65" s="1007"/>
    </row>
    <row r="66" spans="2:10" ht="12" customHeight="1">
      <c r="B66" s="1008"/>
      <c r="C66" s="1008"/>
      <c r="D66" s="1008"/>
      <c r="E66" s="1008"/>
      <c r="F66" s="1008"/>
      <c r="G66" s="1008"/>
    </row>
    <row r="67" spans="2:10" ht="12" customHeight="1">
      <c r="B67" s="1008"/>
      <c r="C67" s="1008"/>
      <c r="D67" s="1008"/>
      <c r="E67" s="1008"/>
      <c r="F67" s="1008"/>
      <c r="G67" s="1008"/>
    </row>
    <row r="68" spans="2:10" ht="12" customHeight="1">
      <c r="B68" s="1008"/>
      <c r="C68" s="1008"/>
      <c r="D68" s="1008"/>
      <c r="E68" s="1008"/>
      <c r="F68" s="1008"/>
      <c r="G68" s="1008"/>
    </row>
    <row r="69" spans="2:10" ht="12" customHeight="1">
      <c r="B69" s="1008"/>
      <c r="C69" s="1008"/>
      <c r="D69" s="1008"/>
      <c r="E69" s="1008"/>
      <c r="F69" s="1008"/>
      <c r="G69" s="1008"/>
    </row>
    <row r="70" spans="2:10" ht="12" customHeight="1" thickBot="1">
      <c r="B70" s="1008"/>
      <c r="C70" s="1008"/>
      <c r="D70" s="1008"/>
      <c r="E70" s="1008"/>
      <c r="F70" s="1008"/>
      <c r="G70" s="1008"/>
    </row>
    <row r="71" spans="2:10" ht="12" customHeight="1">
      <c r="B71" s="1009" t="s">
        <v>1516</v>
      </c>
      <c r="C71" s="1010"/>
      <c r="D71" s="1010"/>
      <c r="E71" s="1010"/>
      <c r="F71" s="1010"/>
      <c r="G71" s="1010"/>
      <c r="H71" s="1010"/>
      <c r="I71" s="1010"/>
      <c r="J71" s="1011"/>
    </row>
    <row r="72" spans="2:10" ht="12" customHeight="1">
      <c r="B72" s="1012"/>
      <c r="C72" s="1013"/>
      <c r="D72" s="1013"/>
      <c r="E72" s="1013"/>
      <c r="F72" s="1013"/>
      <c r="G72" s="1013"/>
      <c r="H72" s="1013"/>
      <c r="I72" s="1013"/>
      <c r="J72" s="1014"/>
    </row>
    <row r="73" spans="2:10" ht="12" customHeight="1">
      <c r="B73" s="1012"/>
      <c r="C73" s="1013"/>
      <c r="D73" s="1013"/>
      <c r="E73" s="1013"/>
      <c r="F73" s="1013"/>
      <c r="G73" s="1013"/>
      <c r="H73" s="1013"/>
      <c r="I73" s="1013"/>
      <c r="J73" s="1014"/>
    </row>
    <row r="74" spans="2:10" ht="12" customHeight="1">
      <c r="B74" s="1012"/>
      <c r="C74" s="1013"/>
      <c r="D74" s="1013"/>
      <c r="E74" s="1013"/>
      <c r="F74" s="1013"/>
      <c r="G74" s="1013"/>
      <c r="H74" s="1013"/>
      <c r="I74" s="1013"/>
      <c r="J74" s="1014"/>
    </row>
    <row r="75" spans="2:10" ht="12" customHeight="1">
      <c r="B75" s="1015"/>
      <c r="C75" s="1016"/>
      <c r="D75" s="1016"/>
      <c r="E75" s="1016"/>
      <c r="F75" s="1016"/>
      <c r="G75" s="1016"/>
      <c r="H75" s="1016"/>
      <c r="I75" s="1016"/>
      <c r="J75" s="1017"/>
    </row>
    <row r="76" spans="2:10" ht="12" customHeight="1" thickBot="1">
      <c r="B76" s="1018"/>
      <c r="C76" s="1019"/>
      <c r="D76" s="1019"/>
      <c r="E76" s="1019"/>
      <c r="F76" s="1019"/>
      <c r="G76" s="1019"/>
      <c r="H76" s="1019"/>
      <c r="I76" s="1019"/>
      <c r="J76" s="1020"/>
    </row>
    <row r="77" spans="2:10" ht="12" customHeight="1">
      <c r="B77" s="1004"/>
      <c r="C77" s="1004"/>
      <c r="D77" s="1004"/>
      <c r="E77" s="1004"/>
      <c r="F77" s="1004"/>
      <c r="G77" s="1004"/>
    </row>
  </sheetData>
  <dataValidations count="1">
    <dataValidation allowBlank="1" showInputMessage="1" showErrorMessage="1" sqref="C53:C57 B1:B9 C8:C9 B38:C50 C1:IW7 D8:J8 D38:I57 C58:I65586 B53:B65586 K8:IW65586 B10:I37 J10:J65586" xr:uid="{053209CE-6952-49C2-8D39-CC557DD35D0C}"/>
  </dataValidations>
  <hyperlinks>
    <hyperlink ref="B7" location="Index" display="Back to Index" xr:uid="{D25CA661-24BA-4CE0-BE20-DA5AE0C470DD}"/>
  </hyperlinks>
  <printOptions horizontalCentered="1" verticalCentered="1"/>
  <pageMargins left="0.39370078740157483" right="0.39370078740157483" top="0.39370078740157483" bottom="0.39370078740157483" header="0.19685039370078741" footer="0.19685039370078741"/>
  <pageSetup paperSize="9" scale="46" orientation="landscape" r:id="rId1"/>
  <headerFooter alignWithMargins="0">
    <oddFooter>&amp;L&amp;A</oddFooter>
  </headerFooter>
  <rowBreaks count="1" manualBreakCount="1">
    <brk id="35" min="1" max="9" man="1"/>
  </rowBreaks>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9793-8C88-4C59-9DB5-3358C2A6D699}">
  <sheetPr>
    <tabColor theme="5" tint="-0.249977111117893"/>
  </sheetPr>
  <dimension ref="B1:O89"/>
  <sheetViews>
    <sheetView showGridLines="0" zoomScale="60" zoomScaleNormal="60" zoomScaleSheetLayoutView="100" workbookViewId="0">
      <pane ySplit="9" topLeftCell="A10" activePane="bottomLeft" state="frozen"/>
      <selection activeCell="N26" sqref="N26"/>
      <selection pane="bottomLeft" activeCell="G6" sqref="G6"/>
    </sheetView>
  </sheetViews>
  <sheetFormatPr defaultColWidth="7.33203125" defaultRowHeight="12" customHeight="1"/>
  <cols>
    <col min="1" max="1" width="1.58203125" style="929" customWidth="1"/>
    <col min="2" max="2" width="35.75" style="929" customWidth="1"/>
    <col min="3" max="3" width="14.9140625" style="929" customWidth="1"/>
    <col min="4" max="4" width="24" style="929" customWidth="1"/>
    <col min="5" max="5" width="26.08203125" style="929" customWidth="1"/>
    <col min="6" max="7" width="18.83203125" style="929" customWidth="1"/>
    <col min="8" max="8" width="5.1640625" style="929" customWidth="1"/>
    <col min="9" max="9" width="13.58203125" style="929" customWidth="1"/>
    <col min="10" max="10" width="9" style="929" customWidth="1"/>
    <col min="11" max="11" width="8.75" style="929" customWidth="1"/>
    <col min="12" max="12" width="8.08203125" style="929" customWidth="1"/>
    <col min="13" max="13" width="9.6640625" style="929" customWidth="1"/>
    <col min="14" max="14" width="10.08203125" style="929" customWidth="1"/>
    <col min="15" max="15" width="1.4140625" style="929" customWidth="1"/>
    <col min="16" max="16" width="1.08203125" style="929" customWidth="1"/>
    <col min="17" max="16384" width="7.33203125" style="929"/>
  </cols>
  <sheetData>
    <row r="1" spans="2:15" ht="15.75" customHeight="1">
      <c r="B1" s="930" t="s">
        <v>1517</v>
      </c>
      <c r="G1" s="931" t="s">
        <v>1455</v>
      </c>
      <c r="I1" s="2043">
        <v>2018</v>
      </c>
      <c r="N1" s="931"/>
    </row>
    <row r="2" spans="2:15" ht="15.75" customHeight="1">
      <c r="B2" s="930" t="s">
        <v>1518</v>
      </c>
      <c r="G2" s="931" t="s">
        <v>1457</v>
      </c>
      <c r="I2" s="2043"/>
      <c r="N2" s="931"/>
    </row>
    <row r="3" spans="2:15" ht="15.75" customHeight="1" thickBot="1">
      <c r="B3" s="930" t="s">
        <v>1456</v>
      </c>
      <c r="G3" s="931" t="s">
        <v>1458</v>
      </c>
      <c r="I3" s="2043" t="s">
        <v>325</v>
      </c>
      <c r="N3" s="931"/>
    </row>
    <row r="4" spans="2:15" ht="12" hidden="1" customHeight="1">
      <c r="B4" s="930"/>
      <c r="G4" s="931"/>
      <c r="N4" s="931"/>
    </row>
    <row r="5" spans="2:15" ht="12" hidden="1" customHeight="1">
      <c r="B5" s="930"/>
      <c r="G5" s="931"/>
      <c r="N5" s="931"/>
    </row>
    <row r="6" spans="2:15" ht="12" customHeight="1" thickBot="1">
      <c r="B6" s="1042" t="s">
        <v>1459</v>
      </c>
      <c r="C6" s="1043"/>
      <c r="D6" s="1043"/>
      <c r="E6" s="2046"/>
      <c r="F6" s="2049" t="str">
        <f>IF(G6-RESULTADOS!C8&lt;0.01,"OK","NO")</f>
        <v>OK</v>
      </c>
      <c r="G6" s="2048">
        <f>G10+G28+G22+G25</f>
        <v>281.84371557863011</v>
      </c>
      <c r="H6" s="2050">
        <f>G6-RESULTADOS!C8</f>
        <v>0</v>
      </c>
      <c r="I6" s="1045" t="s">
        <v>1519</v>
      </c>
      <c r="J6" s="1045"/>
      <c r="K6" s="1045"/>
      <c r="L6" s="1045"/>
      <c r="M6" s="1045"/>
      <c r="N6" s="1045"/>
      <c r="O6" s="1045"/>
    </row>
    <row r="7" spans="2:15" ht="23">
      <c r="B7" s="1046" t="s">
        <v>1520</v>
      </c>
      <c r="C7" s="1047" t="s">
        <v>1521</v>
      </c>
      <c r="D7" s="1048"/>
      <c r="E7" s="1049"/>
      <c r="F7" s="1050" t="s">
        <v>1522</v>
      </c>
      <c r="G7" s="1051" t="s">
        <v>1523</v>
      </c>
      <c r="I7" s="1052" t="s">
        <v>1524</v>
      </c>
      <c r="J7" s="1053"/>
      <c r="K7" s="1054" t="s">
        <v>1525</v>
      </c>
      <c r="L7" s="1054" t="s">
        <v>1526</v>
      </c>
      <c r="M7" s="1054" t="s">
        <v>1527</v>
      </c>
      <c r="N7" s="1055"/>
    </row>
    <row r="8" spans="2:15" ht="15">
      <c r="B8" s="1056"/>
      <c r="C8" s="1057" t="s">
        <v>1528</v>
      </c>
      <c r="D8" s="1058" t="s">
        <v>1529</v>
      </c>
      <c r="E8" s="1059" t="s">
        <v>1530</v>
      </c>
      <c r="F8" s="1057" t="s">
        <v>1462</v>
      </c>
      <c r="G8" s="1060" t="s">
        <v>1462</v>
      </c>
      <c r="I8" s="1061"/>
      <c r="J8" s="1062"/>
      <c r="K8" s="1059"/>
      <c r="L8" s="1059"/>
      <c r="M8" s="1059"/>
      <c r="N8" s="1063"/>
    </row>
    <row r="9" spans="2:15" ht="14" thickBot="1">
      <c r="B9" s="1064"/>
      <c r="C9" s="1065" t="s">
        <v>1531</v>
      </c>
      <c r="D9" s="1066" t="s">
        <v>1532</v>
      </c>
      <c r="E9" s="1067" t="s">
        <v>1533</v>
      </c>
      <c r="F9" s="1067" t="s">
        <v>1534</v>
      </c>
      <c r="G9" s="1068" t="s">
        <v>1469</v>
      </c>
      <c r="I9" s="1069" t="s">
        <v>1535</v>
      </c>
      <c r="J9" s="1070"/>
      <c r="K9" s="1071"/>
      <c r="L9" s="1071"/>
      <c r="M9" s="1071"/>
      <c r="N9" s="1072"/>
    </row>
    <row r="10" spans="2:15" ht="18" customHeight="1" thickTop="1">
      <c r="B10" s="1073" t="s">
        <v>1536</v>
      </c>
      <c r="C10" s="1159">
        <f>C15</f>
        <v>4056.7956932725729</v>
      </c>
      <c r="D10" s="1074"/>
      <c r="E10" s="1074"/>
      <c r="F10" s="1977">
        <f>G10/C10</f>
        <v>6.6793752560728725E-2</v>
      </c>
      <c r="G10" s="1976">
        <f>G15</f>
        <v>270.9686077258782</v>
      </c>
      <c r="I10" s="1076" t="s">
        <v>1537</v>
      </c>
      <c r="J10" s="1077" t="s">
        <v>113</v>
      </c>
      <c r="K10" s="1157">
        <f>AVERAGE('3B Manejo de Estiércol CH4'!F13:F15)</f>
        <v>483.22499368183662</v>
      </c>
      <c r="L10" s="1157">
        <f>AVERAGE('3B Manejo de Estiércol CH4'!F16:F21)</f>
        <v>457.19770510565962</v>
      </c>
      <c r="M10" s="1079" t="s">
        <v>2213</v>
      </c>
      <c r="N10" s="1080"/>
    </row>
    <row r="11" spans="2:15" ht="18" customHeight="1">
      <c r="B11" s="1081" t="s">
        <v>1474</v>
      </c>
      <c r="C11" s="1074"/>
      <c r="D11" s="1082"/>
      <c r="E11" s="1083"/>
      <c r="F11" s="961"/>
      <c r="G11" s="1084"/>
      <c r="I11" s="1076" t="s">
        <v>1538</v>
      </c>
      <c r="J11" s="1085"/>
      <c r="K11" s="1086" t="s">
        <v>2211</v>
      </c>
      <c r="L11" s="1086" t="s">
        <v>2211</v>
      </c>
      <c r="M11" s="1086" t="s">
        <v>2211</v>
      </c>
      <c r="N11" s="1087"/>
    </row>
    <row r="12" spans="2:15" ht="18" customHeight="1">
      <c r="B12" s="1088" t="s">
        <v>1475</v>
      </c>
      <c r="C12" s="1137" t="s">
        <v>2213</v>
      </c>
      <c r="D12" s="1137" t="s">
        <v>2213</v>
      </c>
      <c r="E12" s="1137" t="s">
        <v>2213</v>
      </c>
      <c r="F12" s="1980" t="s">
        <v>41</v>
      </c>
      <c r="G12" s="1589" t="s">
        <v>2213</v>
      </c>
      <c r="I12" s="1076" t="s">
        <v>1539</v>
      </c>
      <c r="J12" s="1077" t="s">
        <v>1540</v>
      </c>
      <c r="K12" s="1078">
        <v>7.5</v>
      </c>
      <c r="L12" s="1078" t="s">
        <v>41</v>
      </c>
      <c r="M12" s="1079" t="s">
        <v>41</v>
      </c>
      <c r="N12" s="1080"/>
    </row>
    <row r="13" spans="2:15" ht="18" customHeight="1">
      <c r="B13" s="1088" t="s">
        <v>1476</v>
      </c>
      <c r="C13" s="1137" t="s">
        <v>2213</v>
      </c>
      <c r="D13" s="1137" t="s">
        <v>2213</v>
      </c>
      <c r="E13" s="1137" t="s">
        <v>2213</v>
      </c>
      <c r="F13" s="1980" t="s">
        <v>41</v>
      </c>
      <c r="G13" s="1589" t="s">
        <v>2213</v>
      </c>
      <c r="I13" s="1076" t="s">
        <v>1541</v>
      </c>
      <c r="J13" s="1077" t="s">
        <v>1542</v>
      </c>
      <c r="K13" s="1078" t="s">
        <v>2211</v>
      </c>
      <c r="L13" s="1078" t="s">
        <v>2211</v>
      </c>
      <c r="M13" s="1078" t="s">
        <v>2211</v>
      </c>
      <c r="N13" s="1080"/>
    </row>
    <row r="14" spans="2:15" ht="18" customHeight="1">
      <c r="B14" s="1081" t="s">
        <v>1543</v>
      </c>
      <c r="C14" s="1090"/>
      <c r="D14" s="1090"/>
      <c r="E14" s="1090"/>
      <c r="F14" s="1091"/>
      <c r="G14" s="1092"/>
      <c r="I14" s="1076" t="s">
        <v>1544</v>
      </c>
      <c r="J14" s="1077" t="s">
        <v>1533</v>
      </c>
      <c r="K14" s="1078">
        <v>91</v>
      </c>
      <c r="L14" s="1078">
        <v>91</v>
      </c>
      <c r="M14" s="1079" t="s">
        <v>2211</v>
      </c>
      <c r="N14" s="1080"/>
    </row>
    <row r="15" spans="2:15" ht="18" customHeight="1" thickBot="1">
      <c r="B15" s="1093" t="s">
        <v>1545</v>
      </c>
      <c r="C15" s="1148">
        <f>SUM(C17:C19)</f>
        <v>4056.7956932725729</v>
      </c>
      <c r="D15" s="1094"/>
      <c r="E15" s="1094"/>
      <c r="F15" s="1075"/>
      <c r="G15" s="1149">
        <f>SUM(G17:G19)</f>
        <v>270.9686077258782</v>
      </c>
      <c r="I15" s="1095" t="s">
        <v>1546</v>
      </c>
      <c r="J15" s="1096" t="s">
        <v>1533</v>
      </c>
      <c r="K15" s="1097">
        <v>57.5</v>
      </c>
      <c r="L15" s="1097">
        <v>55.6</v>
      </c>
      <c r="M15" s="1098" t="s">
        <v>2211</v>
      </c>
      <c r="N15" s="1099"/>
    </row>
    <row r="16" spans="2:15" ht="18" customHeight="1">
      <c r="B16" s="1100" t="s">
        <v>1547</v>
      </c>
      <c r="C16" s="1101"/>
      <c r="D16" s="1101"/>
      <c r="E16" s="1101"/>
      <c r="F16" s="1101"/>
      <c r="G16" s="1102"/>
      <c r="I16" s="1103"/>
      <c r="J16" s="1103"/>
      <c r="K16" s="1103"/>
      <c r="L16" s="1103"/>
      <c r="M16" s="1103"/>
      <c r="N16" s="1103"/>
      <c r="O16" s="1043"/>
    </row>
    <row r="17" spans="2:14" ht="18" customHeight="1">
      <c r="B17" s="1104" t="s">
        <v>1479</v>
      </c>
      <c r="C17" s="1137">
        <f>SUM('3A1 Fermentación E.'!D13:D15)/1000</f>
        <v>832.52759267704232</v>
      </c>
      <c r="D17" s="1139">
        <v>12.097</v>
      </c>
      <c r="E17" s="1139">
        <v>6.4</v>
      </c>
      <c r="F17" s="2044">
        <f>G17/C17</f>
        <v>9.3999402671305826E-2</v>
      </c>
      <c r="G17" s="1146">
        <f>SUM('3A1 Fermentación E.'!F13:F15)</f>
        <v>78.257096419022176</v>
      </c>
      <c r="I17" s="1105"/>
      <c r="J17" s="1105"/>
      <c r="K17" s="1105"/>
      <c r="L17" s="1105"/>
      <c r="M17" s="1105"/>
      <c r="N17" s="1105"/>
    </row>
    <row r="18" spans="2:14" ht="18" customHeight="1">
      <c r="B18" s="1104" t="s">
        <v>1480</v>
      </c>
      <c r="C18" s="1138">
        <f>SUM('3A1 Fermentación E.'!D16:D21)/1000</f>
        <v>982.98407351386663</v>
      </c>
      <c r="D18" s="1140">
        <v>10.413264752693156</v>
      </c>
      <c r="E18" s="1141">
        <v>6.6</v>
      </c>
      <c r="F18" s="2044">
        <f t="shared" ref="F18:F19" si="0">G18/C18</f>
        <v>8.4766210500492559E-2</v>
      </c>
      <c r="G18" s="1147">
        <f>SUM('3A1 Fermentación E.'!F16:F21)</f>
        <v>83.323834894108074</v>
      </c>
      <c r="I18" s="1105"/>
      <c r="J18" s="1105"/>
      <c r="K18" s="1105"/>
      <c r="L18" s="1105"/>
      <c r="M18" s="1105"/>
      <c r="N18" s="1105"/>
    </row>
    <row r="19" spans="2:14" ht="18" customHeight="1">
      <c r="B19" s="1104" t="s">
        <v>1481</v>
      </c>
      <c r="C19" s="1142">
        <f>SUM('3A1 Fermentación E.'!D22:D24)/1000</f>
        <v>2241.2840270816637</v>
      </c>
      <c r="D19" s="1144">
        <v>5.7484738161439006</v>
      </c>
      <c r="E19" s="1143">
        <v>6.5</v>
      </c>
      <c r="F19" s="2044">
        <f t="shared" si="0"/>
        <v>4.8805807336779056E-2</v>
      </c>
      <c r="G19" s="1146">
        <f>SUM('3A1 Fermentación E.'!F22:F24)</f>
        <v>109.38767641274796</v>
      </c>
      <c r="I19" s="1105"/>
      <c r="J19" s="1105"/>
      <c r="K19" s="1105"/>
      <c r="L19" s="1105"/>
      <c r="M19" s="1105"/>
      <c r="N19" s="1105"/>
    </row>
    <row r="20" spans="2:14" ht="18" customHeight="1">
      <c r="B20" s="1106" t="s">
        <v>1548</v>
      </c>
      <c r="C20" s="1980" t="s">
        <v>41</v>
      </c>
      <c r="D20" s="1981"/>
      <c r="E20" s="1981"/>
      <c r="F20" s="1145" t="s">
        <v>41</v>
      </c>
      <c r="G20" s="1982" t="s">
        <v>41</v>
      </c>
      <c r="I20" s="1105"/>
      <c r="J20" s="1105"/>
      <c r="K20" s="1107"/>
      <c r="L20" s="1107"/>
      <c r="M20" s="1107"/>
      <c r="N20" s="1107"/>
    </row>
    <row r="21" spans="2:14" ht="18" customHeight="1">
      <c r="B21" s="1108"/>
      <c r="C21" s="1109"/>
      <c r="D21" s="1110"/>
      <c r="E21" s="1110"/>
      <c r="F21" s="1075"/>
      <c r="G21" s="1089"/>
      <c r="I21" s="1105"/>
      <c r="J21" s="1107"/>
      <c r="K21" s="1107"/>
      <c r="L21" s="1107"/>
      <c r="M21" s="1107"/>
      <c r="N21" s="1107"/>
    </row>
    <row r="22" spans="2:14" ht="18" customHeight="1">
      <c r="B22" s="1111" t="s">
        <v>1549</v>
      </c>
      <c r="C22" s="1150">
        <f>'3A1 Fermentación E.'!D26/1000</f>
        <v>498.95201288858698</v>
      </c>
      <c r="D22" s="1151"/>
      <c r="E22" s="1151"/>
      <c r="F22" s="2044">
        <f>G22/C22</f>
        <v>5.0000000000000001E-3</v>
      </c>
      <c r="G22" s="2042">
        <f>'3A1 Fermentación E.'!F26</f>
        <v>2.4947600644429349</v>
      </c>
      <c r="I22" s="1105"/>
    </row>
    <row r="23" spans="2:14" ht="18" customHeight="1">
      <c r="B23" s="1088" t="s">
        <v>1550</v>
      </c>
      <c r="C23" s="1150">
        <f>C22</f>
        <v>498.95201288858698</v>
      </c>
      <c r="D23" s="1151"/>
      <c r="E23" s="1151"/>
      <c r="F23" s="2044">
        <f>G23/C23</f>
        <v>5.0000000000000001E-3</v>
      </c>
      <c r="G23" s="1152">
        <f>G22</f>
        <v>2.4947600644429349</v>
      </c>
    </row>
    <row r="24" spans="2:14" ht="18" customHeight="1">
      <c r="B24" s="1114"/>
      <c r="C24" s="1153"/>
      <c r="D24" s="1154"/>
      <c r="E24" s="1154"/>
      <c r="F24" s="1150"/>
      <c r="G24" s="1155"/>
    </row>
    <row r="25" spans="2:14" ht="18" customHeight="1">
      <c r="B25" s="1111" t="s">
        <v>1551</v>
      </c>
      <c r="C25" s="1148">
        <f>'3A1 Fermentación E.'!D31/1000</f>
        <v>1682.6620402921853</v>
      </c>
      <c r="D25" s="1151"/>
      <c r="E25" s="1151"/>
      <c r="F25" s="2044">
        <f>G25/C25</f>
        <v>1E-3</v>
      </c>
      <c r="G25" s="2042">
        <f>'3A1 Fermentación E.'!F31</f>
        <v>1.6826620402921852</v>
      </c>
    </row>
    <row r="26" spans="2:14" ht="18" customHeight="1">
      <c r="B26" s="1088" t="s">
        <v>1552</v>
      </c>
      <c r="C26" s="1150">
        <f>C25</f>
        <v>1682.6620402921853</v>
      </c>
      <c r="D26" s="1978"/>
      <c r="E26" s="1979"/>
      <c r="F26" s="2044">
        <f>G26/C26</f>
        <v>1E-3</v>
      </c>
      <c r="G26" s="1152">
        <f>G25</f>
        <v>1.6826620402921852</v>
      </c>
    </row>
    <row r="27" spans="2:14" ht="18" customHeight="1">
      <c r="B27" s="1114"/>
      <c r="C27" s="1115"/>
      <c r="D27" s="1116"/>
      <c r="E27" s="1117"/>
      <c r="F27" s="1075"/>
      <c r="G27" s="1118"/>
    </row>
    <row r="28" spans="2:14" ht="18" customHeight="1">
      <c r="B28" s="1111" t="s">
        <v>1553</v>
      </c>
      <c r="C28" s="1148">
        <f>SUM(C30:C36)</f>
        <v>44438.669688959046</v>
      </c>
      <c r="D28" s="1112"/>
      <c r="E28" s="1113"/>
      <c r="F28" s="1075"/>
      <c r="G28" s="2042">
        <f>SUM(G30:G36)</f>
        <v>6.6976857480168013</v>
      </c>
    </row>
    <row r="29" spans="2:14" ht="18" customHeight="1">
      <c r="B29" s="1119" t="s">
        <v>1554</v>
      </c>
      <c r="C29" s="1120"/>
      <c r="D29" s="1121"/>
      <c r="E29" s="1121"/>
      <c r="F29" s="1121"/>
      <c r="G29" s="1122"/>
    </row>
    <row r="30" spans="2:14" ht="18" customHeight="1">
      <c r="B30" s="1093" t="s">
        <v>1555</v>
      </c>
      <c r="C30" s="1137">
        <f>'3A1 Fermentación E.'!D25/1000</f>
        <v>3.839</v>
      </c>
      <c r="D30" s="1139" t="s">
        <v>41</v>
      </c>
      <c r="E30" s="1139" t="s">
        <v>41</v>
      </c>
      <c r="F30" s="2044">
        <f>G30/C30</f>
        <v>6.8000000000000005E-2</v>
      </c>
      <c r="G30" s="2045">
        <f>RESULTADOS!C10</f>
        <v>0.26105200000000001</v>
      </c>
    </row>
    <row r="31" spans="2:14" ht="18" customHeight="1">
      <c r="B31" s="1093" t="s">
        <v>1556</v>
      </c>
      <c r="C31" s="1137">
        <f>'3A1 Fermentación E.'!D28/1000</f>
        <v>20.94978325706191</v>
      </c>
      <c r="D31" s="1139" t="s">
        <v>41</v>
      </c>
      <c r="E31" s="1139" t="s">
        <v>41</v>
      </c>
      <c r="F31" s="2044">
        <f>G31/C31</f>
        <v>8.0000000000000002E-3</v>
      </c>
      <c r="G31" s="1156">
        <f>'3A1 Fermentación E.'!F28</f>
        <v>0.16759826605649528</v>
      </c>
    </row>
    <row r="32" spans="2:14" ht="18" customHeight="1">
      <c r="B32" s="1093" t="s">
        <v>1557</v>
      </c>
      <c r="C32" s="1137" t="s">
        <v>2212</v>
      </c>
      <c r="D32" s="1139" t="s">
        <v>2212</v>
      </c>
      <c r="E32" s="1139" t="s">
        <v>2212</v>
      </c>
      <c r="F32" s="1980" t="s">
        <v>2212</v>
      </c>
      <c r="G32" s="1156" t="s">
        <v>2212</v>
      </c>
    </row>
    <row r="33" spans="2:7" ht="18" customHeight="1">
      <c r="B33" s="1093" t="s">
        <v>1558</v>
      </c>
      <c r="C33" s="1137">
        <f>'3A1 Fermentación E.'!D27/1000</f>
        <v>21.745306881266913</v>
      </c>
      <c r="D33" s="1139" t="s">
        <v>41</v>
      </c>
      <c r="E33" s="1139" t="s">
        <v>41</v>
      </c>
      <c r="F33" s="2044">
        <f>G33/C33</f>
        <v>4.9999999999999992E-3</v>
      </c>
      <c r="G33" s="1156">
        <f>'3A1 Fermentación E.'!F27</f>
        <v>0.10872653440633455</v>
      </c>
    </row>
    <row r="34" spans="2:7" ht="18" customHeight="1">
      <c r="B34" s="1093" t="s">
        <v>1559</v>
      </c>
      <c r="C34" s="1137">
        <f>'3A1 Fermentación E.'!D29/1000</f>
        <v>260.47901686208553</v>
      </c>
      <c r="D34" s="1139" t="s">
        <v>41</v>
      </c>
      <c r="E34" s="1139" t="s">
        <v>41</v>
      </c>
      <c r="F34" s="2044">
        <f t="shared" ref="F34:F35" si="1">G34/C34</f>
        <v>1.7999999999999995E-2</v>
      </c>
      <c r="G34" s="1156">
        <f>'3A1 Fermentación E.'!F29</f>
        <v>4.6886223035175387</v>
      </c>
    </row>
    <row r="35" spans="2:7" ht="18" customHeight="1">
      <c r="B35" s="1093" t="s">
        <v>1560</v>
      </c>
      <c r="C35" s="1137">
        <f>'3A1 Fermentación E.'!D30/1000</f>
        <v>147.16866440364331</v>
      </c>
      <c r="D35" s="1139" t="s">
        <v>41</v>
      </c>
      <c r="E35" s="1139" t="s">
        <v>41</v>
      </c>
      <c r="F35" s="2044">
        <f t="shared" si="1"/>
        <v>0.01</v>
      </c>
      <c r="G35" s="1156">
        <f>'3A1 Fermentación E.'!F30</f>
        <v>1.4716866440364331</v>
      </c>
    </row>
    <row r="36" spans="2:7" ht="18" customHeight="1">
      <c r="B36" s="1093" t="s">
        <v>1561</v>
      </c>
      <c r="C36" s="1158">
        <f>SUM('3A1 Fermentación E.'!D32:D35)/1000</f>
        <v>43984.487917554987</v>
      </c>
      <c r="D36" s="1139" t="s">
        <v>41</v>
      </c>
      <c r="E36" s="1139" t="s">
        <v>41</v>
      </c>
      <c r="F36" s="1980" t="s">
        <v>547</v>
      </c>
      <c r="G36" s="1156" t="s">
        <v>547</v>
      </c>
    </row>
    <row r="37" spans="2:7" ht="18" customHeight="1">
      <c r="B37" s="1093" t="s">
        <v>1562</v>
      </c>
      <c r="C37" s="1980" t="s">
        <v>41</v>
      </c>
      <c r="D37" s="1978"/>
      <c r="E37" s="1979"/>
      <c r="F37" s="1980" t="s">
        <v>41</v>
      </c>
      <c r="G37" s="1983" t="s">
        <v>41</v>
      </c>
    </row>
    <row r="38" spans="2:7" ht="18" customHeight="1">
      <c r="B38" s="1123" t="s">
        <v>1547</v>
      </c>
      <c r="C38" s="1120"/>
      <c r="D38" s="1121"/>
      <c r="E38" s="1121"/>
      <c r="F38" s="1121"/>
      <c r="G38" s="1122"/>
    </row>
    <row r="39" spans="2:7" ht="18" customHeight="1">
      <c r="B39" s="1124" t="s">
        <v>1563</v>
      </c>
      <c r="C39" s="988" t="s">
        <v>2211</v>
      </c>
      <c r="D39" s="988" t="s">
        <v>2211</v>
      </c>
      <c r="E39" s="988" t="s">
        <v>2211</v>
      </c>
      <c r="F39" s="1980" t="s">
        <v>41</v>
      </c>
      <c r="G39" s="1589" t="s">
        <v>2211</v>
      </c>
    </row>
    <row r="40" spans="2:7" ht="18" customHeight="1">
      <c r="B40" s="1124" t="s">
        <v>1564</v>
      </c>
      <c r="C40" s="988" t="s">
        <v>41</v>
      </c>
      <c r="D40" s="988" t="s">
        <v>41</v>
      </c>
      <c r="E40" s="988" t="s">
        <v>41</v>
      </c>
      <c r="F40" s="1980" t="s">
        <v>41</v>
      </c>
      <c r="G40" s="1589" t="s">
        <v>41</v>
      </c>
    </row>
    <row r="41" spans="2:7" ht="18" customHeight="1">
      <c r="B41" s="1124" t="s">
        <v>1565</v>
      </c>
      <c r="C41" s="1125" t="s">
        <v>2211</v>
      </c>
      <c r="D41" s="1125" t="s">
        <v>2211</v>
      </c>
      <c r="E41" s="1125" t="s">
        <v>2211</v>
      </c>
      <c r="F41" s="1980" t="s">
        <v>41</v>
      </c>
      <c r="G41" s="1589" t="s">
        <v>2211</v>
      </c>
    </row>
    <row r="42" spans="2:7" ht="18" customHeight="1">
      <c r="B42" s="1124" t="s">
        <v>1566</v>
      </c>
      <c r="C42" s="988" t="s">
        <v>2211</v>
      </c>
      <c r="D42" s="988" t="s">
        <v>2211</v>
      </c>
      <c r="E42" s="988" t="s">
        <v>2211</v>
      </c>
      <c r="F42" s="1980" t="s">
        <v>41</v>
      </c>
      <c r="G42" s="1589" t="s">
        <v>2211</v>
      </c>
    </row>
    <row r="43" spans="2:7" ht="18" customHeight="1">
      <c r="B43" s="1126" t="s">
        <v>1567</v>
      </c>
      <c r="C43" s="1075" t="s">
        <v>41</v>
      </c>
      <c r="D43" s="1112"/>
      <c r="E43" s="1113"/>
      <c r="F43" s="1980" t="s">
        <v>41</v>
      </c>
      <c r="G43" s="1983" t="s">
        <v>41</v>
      </c>
    </row>
    <row r="44" spans="2:7" ht="18" customHeight="1" thickBot="1">
      <c r="B44" s="1127"/>
      <c r="C44" s="1128"/>
      <c r="D44" s="1128"/>
      <c r="E44" s="1128"/>
      <c r="F44" s="1129"/>
      <c r="G44" s="1130"/>
    </row>
    <row r="45" spans="2:7" ht="12" customHeight="1">
      <c r="B45" s="1004"/>
      <c r="C45" s="1004"/>
      <c r="D45" s="1004"/>
      <c r="E45" s="1004"/>
      <c r="F45" s="1004"/>
      <c r="G45" s="1004"/>
    </row>
    <row r="46" spans="2:7" ht="12" customHeight="1">
      <c r="B46" s="1131"/>
      <c r="C46" s="1131"/>
      <c r="D46" s="1131"/>
      <c r="E46" s="1131"/>
      <c r="F46" s="1131"/>
      <c r="G46" s="1131"/>
    </row>
    <row r="47" spans="2:7" ht="12" customHeight="1">
      <c r="B47" s="1131"/>
      <c r="C47" s="1131"/>
      <c r="D47" s="1131"/>
      <c r="E47" s="1131"/>
      <c r="F47" s="1131"/>
      <c r="G47" s="1131"/>
    </row>
    <row r="48" spans="2:7" ht="12" customHeight="1">
      <c r="B48" s="1131"/>
      <c r="C48" s="1131"/>
      <c r="D48" s="1131"/>
      <c r="E48" s="1131"/>
      <c r="F48" s="1131"/>
      <c r="G48" s="1131"/>
    </row>
    <row r="49" spans="2:7" ht="12" customHeight="1">
      <c r="B49" s="1103"/>
      <c r="C49" s="1103"/>
      <c r="D49" s="1103"/>
      <c r="E49" s="1103"/>
      <c r="F49" s="1103"/>
      <c r="G49" s="1043"/>
    </row>
    <row r="50" spans="2:7" ht="12" customHeight="1">
      <c r="B50" s="1103"/>
      <c r="C50" s="1103"/>
      <c r="D50" s="1103"/>
      <c r="E50" s="1103"/>
      <c r="F50" s="1103"/>
      <c r="G50" s="1043"/>
    </row>
    <row r="51" spans="2:7" ht="12" customHeight="1">
      <c r="B51" s="1103"/>
      <c r="C51" s="1103"/>
      <c r="D51" s="1103"/>
      <c r="E51" s="1103"/>
      <c r="F51" s="1103"/>
      <c r="G51" s="1043"/>
    </row>
    <row r="52" spans="2:7" ht="12" customHeight="1">
      <c r="B52" s="1103"/>
      <c r="C52" s="1103"/>
      <c r="D52" s="1103"/>
      <c r="E52" s="1103"/>
      <c r="F52" s="1103"/>
      <c r="G52" s="1043"/>
    </row>
    <row r="53" spans="2:7" ht="12" customHeight="1">
      <c r="B53" s="1103"/>
      <c r="C53" s="1103"/>
      <c r="D53" s="1103"/>
      <c r="E53" s="1103"/>
      <c r="F53" s="1103"/>
      <c r="G53" s="1043"/>
    </row>
    <row r="54" spans="2:7" ht="12" customHeight="1">
      <c r="B54" s="1132"/>
      <c r="C54" s="1133"/>
      <c r="D54" s="1133"/>
      <c r="E54" s="1133"/>
      <c r="F54" s="1133"/>
      <c r="G54" s="1133"/>
    </row>
    <row r="55" spans="2:7" ht="12" customHeight="1">
      <c r="B55" s="1103"/>
      <c r="C55" s="1103"/>
      <c r="D55" s="1103"/>
      <c r="E55" s="1103"/>
      <c r="F55" s="1103"/>
      <c r="G55" s="1043"/>
    </row>
    <row r="56" spans="2:7" ht="12" customHeight="1" thickBot="1">
      <c r="B56" s="1105"/>
      <c r="C56" s="1043"/>
      <c r="D56" s="1043"/>
      <c r="E56" s="1043"/>
      <c r="F56" s="1043"/>
      <c r="G56" s="1043"/>
    </row>
    <row r="57" spans="2:7" ht="12" customHeight="1">
      <c r="B57" s="1052" t="s">
        <v>1568</v>
      </c>
      <c r="C57" s="1134"/>
      <c r="D57" s="1134"/>
      <c r="E57" s="1134"/>
      <c r="F57" s="1043"/>
      <c r="G57" s="1043"/>
    </row>
    <row r="58" spans="2:7" ht="12" customHeight="1">
      <c r="B58" s="1061" t="str">
        <f>'3A1 Fermentación E.'!B40</f>
        <v>Dato</v>
      </c>
      <c r="C58" s="1061" t="str">
        <f>'3A1 Fermentación E.'!C40</f>
        <v>Tipo</v>
      </c>
      <c r="D58" s="1061" t="str">
        <f>'3A1 Fermentación E.'!D40</f>
        <v>Fuente</v>
      </c>
      <c r="E58" s="1061" t="str">
        <f>'3A1 Fermentación E.'!E40</f>
        <v>Observaciones</v>
      </c>
      <c r="F58" s="1045" t="s">
        <v>43</v>
      </c>
      <c r="G58" s="1043"/>
    </row>
    <row r="59" spans="2:7" ht="12" customHeight="1">
      <c r="B59" s="1061" t="str">
        <f>'3A1 Fermentación E.'!B41</f>
        <v>Factor de emisión propio para bovinos</v>
      </c>
      <c r="C59" s="2036" t="str">
        <f>'3A1 Fermentación E.'!C41</f>
        <v>FE</v>
      </c>
      <c r="D59" s="2036" t="str">
        <f>'3A1 Fermentación E.'!D41</f>
        <v>Elaboración país</v>
      </c>
      <c r="E59" s="2036" t="str">
        <f>'3A1 Fermentación E.'!E41</f>
        <v>El factor propio es calculado en base a los datos del proyecto GCI del periodo 2014-2018, incluye todas las variables requeridas para el cálculo del mismo de forma regional y por categoría, el Ym es usado por defecto del IPCC</v>
      </c>
      <c r="F59" s="1045" t="s">
        <v>43</v>
      </c>
      <c r="G59" s="1043"/>
    </row>
    <row r="60" spans="2:7" ht="12" customHeight="1">
      <c r="B60" s="1061" t="str">
        <f>'3A1 Fermentación E.'!B42</f>
        <v>Ganado Lechero</v>
      </c>
      <c r="C60" s="2036" t="str">
        <f>'3A1 Fermentación E.'!C42</f>
        <v>Datos de Actividad</v>
      </c>
      <c r="D60" s="2036" t="str">
        <f>'3A1 Fermentación E.'!D42</f>
        <v xml:space="preserve">ESPAC 2018 (datos ajustados y suavizados, se usan las tasas de variación interanual del registro de agrocalidad de vacunación por fiebre aftosa), tabla 66, </v>
      </c>
      <c r="E60" s="2036" t="str">
        <f>'3A1 Fermentación E.'!E42</f>
        <v>Dato de actividad desagregado por región, dato de existencias población adulta de mas de dos años</v>
      </c>
      <c r="F60" s="1045" t="s">
        <v>43</v>
      </c>
      <c r="G60" s="1043"/>
    </row>
    <row r="61" spans="2:7" ht="12" customHeight="1">
      <c r="B61" s="1061" t="str">
        <f>'3A1 Fermentación E.'!B43</f>
        <v>Ganado Lechero</v>
      </c>
      <c r="C61" s="2036" t="str">
        <f>'3A1 Fermentación E.'!C43</f>
        <v>FE para Fermentación Entérica</v>
      </c>
      <c r="D61" s="2036" t="str">
        <f>'3A1 Fermentación E.'!D43</f>
        <v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v>
      </c>
      <c r="E61" s="2036" t="str">
        <f>'3A1 Fermentación E.'!E43</f>
        <v>El cálculo del factor de emisión propio utiliza las variables del proyecto GCI levantadas en un muestreo de fincas representivo a nivel nacional</v>
      </c>
      <c r="F61" s="1045" t="s">
        <v>43</v>
      </c>
      <c r="G61" s="1043"/>
    </row>
    <row r="62" spans="2:7" ht="12" customHeight="1">
      <c r="B62" s="1061" t="str">
        <f>'3A1 Fermentación E.'!B44</f>
        <v>No Lechero Toros</v>
      </c>
      <c r="C62" s="2036" t="str">
        <f>'3A1 Fermentación E.'!C44</f>
        <v>Datos de Actividad</v>
      </c>
      <c r="D62" s="2036" t="str">
        <f>'3A1 Fermentación E.'!D44</f>
        <v>ESPAC 2018, tabla 50</v>
      </c>
      <c r="E62" s="2036" t="str">
        <f>'3A1 Fermentación E.'!E44</f>
        <v>Corresponde al número de toros de 2 o más años de edad</v>
      </c>
      <c r="F62" s="1045" t="s">
        <v>43</v>
      </c>
      <c r="G62" s="1043"/>
    </row>
    <row r="63" spans="2:7" ht="12" customHeight="1">
      <c r="B63" s="1061" t="str">
        <f>'3A1 Fermentación E.'!B45</f>
        <v>No LecheroToros</v>
      </c>
      <c r="C63" s="2036" t="str">
        <f>'3A1 Fermentación E.'!C45</f>
        <v>FE para Fermentación Entérica</v>
      </c>
      <c r="D63" s="2036" t="str">
        <f>'3A1 Fermentación E.'!D45</f>
        <v>FE propio para Ecuador calculado en base a los parametros levantados en campo por el Proyecto Ganadería Climáticamente Inteligente-- NAMA de FAO, cálculos realizados por el equipo INGEI Agricultura, Ym tomado de los valores por defecto para la región del IPCC</v>
      </c>
      <c r="E63" s="2036" t="str">
        <f>'3A1 Fermentación E.'!E45</f>
        <v>El cálculo del factor de emisión propio utiliza las variables del proyecto GCI levantadas en un muestreo de fincas representivo a nivel nacional</v>
      </c>
      <c r="F63" s="1045" t="s">
        <v>43</v>
      </c>
      <c r="G63" s="1043"/>
    </row>
    <row r="64" spans="2:7" ht="12" customHeight="1">
      <c r="B64" s="1061" t="str">
        <f>'3A1 Fermentación E.'!B46</f>
        <v>No Lechero Vacas</v>
      </c>
      <c r="C64" s="2036" t="str">
        <f>'3A1 Fermentación E.'!C46</f>
        <v>Datos de Actividad</v>
      </c>
      <c r="D64" s="2036" t="str">
        <f>'3A1 Fermentación E.'!D46</f>
        <v>ESPAC 2018, tabla 50. Este dato considera (Vacas madre, vacas vientre, otras hembras) menos el número de vacas lecheras</v>
      </c>
      <c r="E64" s="2036" t="str">
        <f>'3A1 Fermentación E.'!E46</f>
        <v>Corresponde al número de vacas de 2 o más años de edad menos el número de vacas ordeñadas</v>
      </c>
      <c r="F64" s="1045" t="s">
        <v>43</v>
      </c>
      <c r="G64" s="1043"/>
    </row>
    <row r="65" spans="2:7" ht="12" customHeight="1">
      <c r="B65" s="1061" t="str">
        <f>'3A1 Fermentación E.'!B47</f>
        <v>No Lechero Vacas</v>
      </c>
      <c r="C65" s="2036" t="str">
        <f>'3A1 Fermentación E.'!C47</f>
        <v>FE para Fermentación Entérica</v>
      </c>
      <c r="D65" s="2036" t="str">
        <f>'3A1 Fermentación E.'!D47</f>
        <v>FE propio para Ecuador calculado en base a los parametros levantados en campo por el Proyecto Ganadería Climáticamente Inteligente-- NAMA de FAO, cálculos realizados por el equipo INGEI Agricultura, Ym tomado de los valores por defecto para la región del IPCC</v>
      </c>
      <c r="E65" s="2036" t="str">
        <f>'3A1 Fermentación E.'!E47</f>
        <v>El cálculo del factor de emisión propio utiliza las variables del proyecto GCI levantadas en un muestreo de fincas representivo a nivel nacional</v>
      </c>
      <c r="F65" s="1045" t="s">
        <v>43</v>
      </c>
      <c r="G65" s="1043"/>
    </row>
    <row r="66" spans="2:7" ht="12" customHeight="1">
      <c r="B66" s="1061" t="str">
        <f>'3A1 Fermentación E.'!B48</f>
        <v>No Lechero En crecimiento</v>
      </c>
      <c r="C66" s="2036" t="str">
        <f>'3A1 Fermentación E.'!C48</f>
        <v>Datos de Actividad</v>
      </c>
      <c r="D66" s="2036" t="str">
        <f>'3A1 Fermentación E.'!D48</f>
        <v>ESPAC 2018, tabla 50</v>
      </c>
      <c r="E66" s="2036" t="str">
        <f>'3A1 Fermentación E.'!E48</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F66" s="1045" t="s">
        <v>43</v>
      </c>
      <c r="G66" s="1043"/>
    </row>
    <row r="67" spans="2:7" ht="12" customHeight="1">
      <c r="B67" s="1061" t="str">
        <f>'3A1 Fermentación E.'!B49</f>
        <v>No Lechero En crecimiento</v>
      </c>
      <c r="C67" s="2036" t="str">
        <f>'3A1 Fermentación E.'!C49</f>
        <v>FE para Fermentación Entérica</v>
      </c>
      <c r="D67" s="2036" t="str">
        <f>'3A1 Fermentación E.'!D49</f>
        <v>FE propio para Ecuador calculado en base a los parametros levantados en campo por el Proyecto Ganadería Climáticamente Inteligente-- NAMA de FAO, cálculos realizados por el equipo INGEI Agricultura, Ym tomado de los valores por defecto para la región del IPCC</v>
      </c>
      <c r="E67" s="2036" t="str">
        <f>'3A1 Fermentación E.'!E49</f>
        <v>El cálculo del factor de emisión propio utiliza las variables del proyecto GCI levantadas en un muestreo de fincas representivo a nivel nacional</v>
      </c>
      <c r="F67" s="1045" t="s">
        <v>43</v>
      </c>
      <c r="G67" s="1043"/>
    </row>
    <row r="68" spans="2:7" ht="12" customHeight="1">
      <c r="B68" s="1061" t="str">
        <f>'3A1 Fermentación E.'!B50</f>
        <v>Búfalos</v>
      </c>
      <c r="C68" s="2036" t="str">
        <f>'3A1 Fermentación E.'!C50</f>
        <v>Datos de Actividad</v>
      </c>
      <c r="D68" s="2036" t="str">
        <f>'3A1 Fermentación E.'!D50</f>
        <v>Registro de vacunación por fiebre aftosa de agrocalidad</v>
      </c>
      <c r="E68" s="2036">
        <f>'3A1 Fermentación E.'!E50</f>
        <v>0</v>
      </c>
      <c r="F68" s="1045" t="s">
        <v>43</v>
      </c>
      <c r="G68" s="1043"/>
    </row>
    <row r="69" spans="2:7" ht="12" customHeight="1">
      <c r="B69" s="1061" t="str">
        <f>'3A1 Fermentación E.'!B51</f>
        <v>Búfalos</v>
      </c>
      <c r="C69" s="2036" t="str">
        <f>'3A1 Fermentación E.'!C51</f>
        <v>FE para Fermentación Entérica</v>
      </c>
      <c r="D69" s="2036" t="str">
        <f>'3A1 Fermentación E.'!D51</f>
        <v>Directrices del IPCC para los inventarios de gases de efecto invernadero 2006, Vol 4, Cap 10 (Cuadro 10A.2, p. 10.74)</v>
      </c>
      <c r="E69" s="2036">
        <f>'3A1 Fermentación E.'!E51</f>
        <v>0</v>
      </c>
      <c r="F69" s="1045" t="s">
        <v>43</v>
      </c>
      <c r="G69" s="1043"/>
    </row>
    <row r="70" spans="2:7" ht="12" customHeight="1">
      <c r="B70" s="1061" t="str">
        <f>'3A1 Fermentación E.'!B52</f>
        <v>Ovejas</v>
      </c>
      <c r="C70" s="2036" t="str">
        <f>'3A1 Fermentación E.'!C52</f>
        <v>Datos de Actividad</v>
      </c>
      <c r="D70" s="2036" t="str">
        <f>'3A1 Fermentación E.'!D52</f>
        <v>ESPAC 2018 (datos ajustados y suavizados), tabla 57</v>
      </c>
      <c r="E70" s="2036" t="str">
        <f>'3A1 Fermentación E.'!E52</f>
        <v>se confirma que el dato puede ser usado como dato final (dias vivo) considerando que el formulario del INEC pregunta por las existencias al momento de la encuesta, y no existe estadistica nacional para discretizar aquella población que vive menos de un año.</v>
      </c>
      <c r="F70" s="1045" t="s">
        <v>43</v>
      </c>
      <c r="G70" s="1043"/>
    </row>
    <row r="71" spans="2:7" ht="12" customHeight="1">
      <c r="B71" s="1061" t="str">
        <f>'3A1 Fermentación E.'!B53</f>
        <v>Ovejas</v>
      </c>
      <c r="C71" s="2036" t="str">
        <f>'3A1 Fermentación E.'!C53</f>
        <v>FE para Fermentación Entérica</v>
      </c>
      <c r="D71" s="2036" t="str">
        <f>'3A1 Fermentación E.'!D53</f>
        <v>Directrices del IPCC de 2006 para los inventarios nacionales de gases de efecto invernadero, Vol 4, Cap 10 (Cuadro 10.10, p. 10.30)</v>
      </c>
      <c r="E71" s="2036">
        <f>'3A1 Fermentación E.'!E53</f>
        <v>0</v>
      </c>
      <c r="F71" s="1045" t="s">
        <v>43</v>
      </c>
      <c r="G71" s="1043"/>
    </row>
    <row r="72" spans="2:7" ht="12" customHeight="1">
      <c r="B72" s="1061" t="str">
        <f>'3A1 Fermentación E.'!B54</f>
        <v>Cabras</v>
      </c>
      <c r="C72" s="2036" t="str">
        <f>'3A1 Fermentación E.'!C54</f>
        <v>Datos de Actividad</v>
      </c>
      <c r="D72" s="2036" t="str">
        <f>'3A1 Fermentación E.'!D54</f>
        <v>ESPAC 2018 (datos ajustados y suavizados), tabla 58</v>
      </c>
      <c r="E72" s="2036" t="str">
        <f>'3A1 Fermentación E.'!E54</f>
        <v>se confirma que el dato puede ser usado como dato final (dias vivo) considerando que el formulario del INEC pregunta por las existencias al momento de la encuesta, y no existe estadistica nacional para discretizar aquella población que vive menos de un año.</v>
      </c>
      <c r="F72" s="1045" t="s">
        <v>43</v>
      </c>
      <c r="G72" s="1043"/>
    </row>
    <row r="73" spans="2:7" ht="12" customHeight="1">
      <c r="B73" s="1061" t="str">
        <f>'3A1 Fermentación E.'!B55</f>
        <v>Cabras</v>
      </c>
      <c r="C73" s="2036" t="str">
        <f>'3A1 Fermentación E.'!C55</f>
        <v>FE para Fermentación Entérica</v>
      </c>
      <c r="D73" s="2036" t="str">
        <f>'3A1 Fermentación E.'!D55</f>
        <v>Directrices del IPCC de 2006 para los inventarios nacionales de gases de efecto invernadero, Vol 4, Cap 10 (Cuadro 10.10, p. 10.30)</v>
      </c>
      <c r="E73" s="2036">
        <f>'3A1 Fermentación E.'!E55</f>
        <v>0</v>
      </c>
      <c r="F73" s="1045" t="s">
        <v>43</v>
      </c>
      <c r="G73" s="1043"/>
    </row>
    <row r="74" spans="2:7" ht="12" customHeight="1">
      <c r="B74" s="1061" t="str">
        <f>'3A1 Fermentación E.'!B56</f>
        <v>Camélidos sudamericanos</v>
      </c>
      <c r="C74" s="2036" t="str">
        <f>'3A1 Fermentación E.'!C56</f>
        <v>Datos de Actividad</v>
      </c>
      <c r="D74" s="2036" t="str">
        <f>'3A1 Fermentación E.'!D56</f>
        <v>Ministerio de Agricultura, Agrocalidad, Regional Chimborazo. Para este dato se consideran alpacas, llamas, vicuñas, huarisos.</v>
      </c>
      <c r="E74" s="2036" t="str">
        <f>'3A1 Fermentación E.'!E56</f>
        <v>Se confirman estadisticas similares y poblaciones estacionales para la categoría, las tasas de crecimiento se proyectan desde los datos de 2016 y 2018 para los siguientes años</v>
      </c>
      <c r="F74" s="1045" t="s">
        <v>43</v>
      </c>
      <c r="G74" s="1043"/>
    </row>
    <row r="75" spans="2:7" ht="12" customHeight="1">
      <c r="B75" s="1061" t="str">
        <f>'3A1 Fermentación E.'!B57</f>
        <v>Camélidos sudamericanos</v>
      </c>
      <c r="C75" s="2036" t="str">
        <f>'3A1 Fermentación E.'!C57</f>
        <v>FE para Fermentación Entérica</v>
      </c>
      <c r="D75" s="2036" t="str">
        <f>'3A1 Fermentación E.'!D57</f>
        <v>Directrices del IPCC de 2006 para los inventarios nacionales de gases de efecto invernadero, Vol 4, Cap 10 (Cuadro 10.10, p. 10.30)</v>
      </c>
      <c r="E75" s="2036" t="str">
        <f>'3A1 Fermentación E.'!E57</f>
        <v>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v>
      </c>
      <c r="F75" s="1045" t="s">
        <v>43</v>
      </c>
      <c r="G75" s="1043"/>
    </row>
    <row r="76" spans="2:7" ht="12" customHeight="1">
      <c r="B76" s="1061" t="str">
        <f>'3A1 Fermentación E.'!B58</f>
        <v>Caballos</v>
      </c>
      <c r="C76" s="2036" t="str">
        <f>'3A1 Fermentación E.'!C58</f>
        <v>Datos de Actividad</v>
      </c>
      <c r="D76" s="2036" t="str">
        <f>'3A1 Fermentación E.'!D58</f>
        <v>ESPAC 2018 (datos ajustados y suavizados), tabla 58</v>
      </c>
      <c r="E76" s="2036" t="str">
        <f>'3A1 Fermentación E.'!E58</f>
        <v>se confirma que el dato puede ser usado como dato final (dias vivo) considerando que el formulario del INEC pregunta por las existencias al momento de la encuesta, y no existe estadistica nacional para discretizar aquella población que vive menos de un año.</v>
      </c>
      <c r="F76" s="1045" t="s">
        <v>43</v>
      </c>
      <c r="G76" s="2037"/>
    </row>
    <row r="77" spans="2:7" ht="12" customHeight="1">
      <c r="B77" s="1061" t="str">
        <f>'3A1 Fermentación E.'!B59</f>
        <v>Caballos</v>
      </c>
      <c r="C77" s="2036" t="str">
        <f>'3A1 Fermentación E.'!C59</f>
        <v>FE para Fermentación Entérica</v>
      </c>
      <c r="D77" s="2036" t="str">
        <f>'3A1 Fermentación E.'!D59</f>
        <v>Directrices del IPCC de 2006 para los inventarios nacionales de gases de efecto invernadero, Vol 4, Cap 10 (Cuadro 10.10, p. 10.30)</v>
      </c>
      <c r="E77" s="2036">
        <f>'3A1 Fermentación E.'!E59</f>
        <v>0</v>
      </c>
      <c r="F77" s="1045" t="s">
        <v>43</v>
      </c>
      <c r="G77" s="2037"/>
    </row>
    <row r="78" spans="2:7" ht="12" customHeight="1">
      <c r="B78" s="1061" t="str">
        <f>'3A1 Fermentación E.'!B60</f>
        <v>Mulas &amp; Asnos</v>
      </c>
      <c r="C78" s="2036" t="str">
        <f>'3A1 Fermentación E.'!C60</f>
        <v>Datos de Actividad</v>
      </c>
      <c r="D78" s="2036" t="str">
        <f>'3A1 Fermentación E.'!D60</f>
        <v>ESPAC 2018 (datos ajustados y suavizados), tabla 58</v>
      </c>
      <c r="E78" s="2036" t="str">
        <f>'3A1 Fermentación E.'!E60</f>
        <v>se confirma que el dato puede ser usado como dato final (dias vivo) considerando que el formulario del INEC pregunta por las existencias al momento de la encuesta, y no existe estadistica nacional para discretizar aquella población que vive menos de un año.</v>
      </c>
      <c r="F78" s="1045" t="s">
        <v>43</v>
      </c>
      <c r="G78" s="2037"/>
    </row>
    <row r="79" spans="2:7" ht="12" customHeight="1">
      <c r="B79" s="1061" t="str">
        <f>'3A1 Fermentación E.'!B61</f>
        <v>Mulas &amp; Asnos</v>
      </c>
      <c r="C79" s="2036" t="str">
        <f>'3A1 Fermentación E.'!C61</f>
        <v>FE para Fermentación Entérica</v>
      </c>
      <c r="D79" s="2036" t="str">
        <f>'3A1 Fermentación E.'!D61</f>
        <v>Directrices del IPCC de 2006 para los inventarios nacionales de gases de efecto invernadero, Vol 4, Cap 10 (Cuadro 10.10, p. 10.30)</v>
      </c>
      <c r="E79" s="2036">
        <f>'3A1 Fermentación E.'!E61</f>
        <v>0</v>
      </c>
      <c r="F79" s="1045" t="s">
        <v>43</v>
      </c>
      <c r="G79" s="2038"/>
    </row>
    <row r="80" spans="2:7" ht="12" customHeight="1">
      <c r="B80" s="1061" t="str">
        <f>'3A1 Fermentación E.'!B62</f>
        <v>Cerdos</v>
      </c>
      <c r="C80" s="2036" t="str">
        <f>'3A1 Fermentación E.'!C62</f>
        <v>Datos de Actividad</v>
      </c>
      <c r="D80" s="2036" t="str">
        <f>'3A1 Fermentación E.'!D62</f>
        <v>ESPAC 2018 (datos ajustados y suavizados), tabla 56</v>
      </c>
      <c r="E80" s="2036" t="str">
        <f>'3A1 Fermentación E.'!E62</f>
        <v>Se usa el dato de existencias, para afinar la estadistica de "dias vivo", el periodo de dias vivo se consideran 27 semanas</v>
      </c>
      <c r="F80" s="1045" t="s">
        <v>43</v>
      </c>
      <c r="G80" s="2039"/>
    </row>
    <row r="81" spans="2:7" ht="12" customHeight="1">
      <c r="B81" s="1061" t="str">
        <f>'3A1 Fermentación E.'!B63</f>
        <v>Cerdos</v>
      </c>
      <c r="C81" s="2036" t="str">
        <f>'3A1 Fermentación E.'!C63</f>
        <v>FE para Fermentación Entérica</v>
      </c>
      <c r="D81" s="2036" t="str">
        <f>'3A1 Fermentación E.'!D63</f>
        <v>Directrices del IPCC de 2006 para los inventarios nacionales de gases de efecto invernadero, Vol 4, Cap 10 (Cuadro 10.10, p. 10.30)</v>
      </c>
      <c r="E81" s="2036">
        <f>'3A1 Fermentación E.'!E63</f>
        <v>0</v>
      </c>
      <c r="F81" s="1045" t="s">
        <v>43</v>
      </c>
      <c r="G81" s="2039"/>
    </row>
    <row r="82" spans="2:7" ht="12" customHeight="1">
      <c r="B82" s="1061" t="str">
        <f>'3A1 Fermentación E.'!B64</f>
        <v>Aves de engorde</v>
      </c>
      <c r="C82" s="2036" t="str">
        <f>'3A1 Fermentación E.'!C64</f>
        <v>Datos de Actividad</v>
      </c>
      <c r="D82" s="2036" t="str">
        <f>'3A1 Fermentación E.'!D64</f>
        <v>Datos de CONAVE, bajo la consideración de ciclos productivos o dias vivo del animal (45)</v>
      </c>
      <c r="E82" s="2036" t="str">
        <f>'3A1 Fermentación E.'!E64</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F82" s="1045" t="s">
        <v>43</v>
      </c>
      <c r="G82" s="2040"/>
    </row>
    <row r="83" spans="2:7" ht="12" customHeight="1">
      <c r="B83" s="1061" t="str">
        <f>'3A1 Fermentación E.'!B65</f>
        <v>Aves de engorde</v>
      </c>
      <c r="C83" s="2036" t="str">
        <f>'3A1 Fermentación E.'!C65</f>
        <v>FE para Fermentación Entérica</v>
      </c>
      <c r="D83" s="2036" t="str">
        <f>'3A1 Fermentación E.'!D65</f>
        <v>NA</v>
      </c>
      <c r="E83" s="2036">
        <f>'3A1 Fermentación E.'!E65</f>
        <v>0</v>
      </c>
      <c r="F83" s="1045" t="s">
        <v>43</v>
      </c>
      <c r="G83" s="2041"/>
    </row>
    <row r="84" spans="2:7" ht="12" customHeight="1">
      <c r="B84" s="1061" t="str">
        <f>'3A1 Fermentación E.'!B66</f>
        <v>Patos</v>
      </c>
      <c r="C84" s="2036" t="str">
        <f>'3A1 Fermentación E.'!C66</f>
        <v>Datos de Actividad</v>
      </c>
      <c r="D84" s="2036" t="str">
        <f>'3A1 Fermentación E.'!D66</f>
        <v>CONAVE</v>
      </c>
      <c r="E84" s="2036" t="str">
        <f>'3A1 Fermentación E.'!E66</f>
        <v>Corresponde al dato de número de cabezas de patos criados en campo</v>
      </c>
      <c r="F84" s="1045" t="s">
        <v>43</v>
      </c>
      <c r="G84" s="1004"/>
    </row>
    <row r="85" spans="2:7" ht="12" customHeight="1">
      <c r="B85" s="1061" t="str">
        <f>'3A1 Fermentación E.'!B67</f>
        <v>Patos</v>
      </c>
      <c r="C85" s="2036" t="str">
        <f>'3A1 Fermentación E.'!C67</f>
        <v>FE para Fermentación Entérica</v>
      </c>
      <c r="D85" s="2036" t="str">
        <f>'3A1 Fermentación E.'!D67</f>
        <v>NA</v>
      </c>
      <c r="E85" s="2036">
        <f>'3A1 Fermentación E.'!E67</f>
        <v>0</v>
      </c>
      <c r="F85" s="1045" t="s">
        <v>43</v>
      </c>
    </row>
    <row r="86" spans="2:7" ht="12" customHeight="1">
      <c r="B86" s="1061" t="str">
        <f>'3A1 Fermentación E.'!B68</f>
        <v xml:space="preserve">Pavos </v>
      </c>
      <c r="C86" s="2036" t="str">
        <f>'3A1 Fermentación E.'!C68</f>
        <v>Datos de Actividad</v>
      </c>
      <c r="D86" s="2036" t="str">
        <f>'3A1 Fermentación E.'!D68</f>
        <v>ESPAC 2018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2018 y 2018. Los saltos bruscos de crecimiento se deben a ajustes metodológicos realizador por la fuente.</v>
      </c>
      <c r="E86" s="2036" t="str">
        <f>'3A1 Fermentación E.'!E68</f>
        <v>Corresponde a la suma de aves criadas en campo (pavos) + aves criadas en planteles avícolas (pavos)</v>
      </c>
      <c r="F86" s="1045" t="s">
        <v>43</v>
      </c>
    </row>
    <row r="87" spans="2:7" ht="12" customHeight="1">
      <c r="B87" s="1061" t="str">
        <f>'3A1 Fermentación E.'!B69</f>
        <v xml:space="preserve">Pavos </v>
      </c>
      <c r="C87" s="2036" t="str">
        <f>'3A1 Fermentación E.'!C69</f>
        <v>FE para Fermentación Entérica</v>
      </c>
      <c r="D87" s="2036" t="str">
        <f>'3A1 Fermentación E.'!D69</f>
        <v>NA</v>
      </c>
      <c r="E87" s="2036">
        <f>'3A1 Fermentación E.'!E69</f>
        <v>0</v>
      </c>
      <c r="F87" s="1045" t="s">
        <v>43</v>
      </c>
    </row>
    <row r="88" spans="2:7" ht="12" customHeight="1">
      <c r="B88" s="1061" t="str">
        <f>'3A1 Fermentación E.'!B70</f>
        <v>Ponedoras</v>
      </c>
      <c r="C88" s="2036" t="str">
        <f>'3A1 Fermentación E.'!C70</f>
        <v>Datos de Actividad</v>
      </c>
      <c r="D88" s="2036" t="str">
        <f>'3A1 Fermentación E.'!D70</f>
        <v>Datos de CONAVE, bajo la consideración de ciclos productivos o dias vivo del animal (45)</v>
      </c>
      <c r="E88" s="2036" t="str">
        <f>'3A1 Fermentación E.'!E70</f>
        <v>Corresponde al dato de número de cabezas de ponedoras en planteles avícolas</v>
      </c>
      <c r="F88" s="1045" t="s">
        <v>43</v>
      </c>
    </row>
    <row r="89" spans="2:7" ht="12" customHeight="1">
      <c r="B89" s="1061" t="str">
        <f>'3A1 Fermentación E.'!B71</f>
        <v>Ponedoras</v>
      </c>
      <c r="C89" s="2036" t="str">
        <f>'3A1 Fermentación E.'!C71</f>
        <v>FE para Fermentación Entérica</v>
      </c>
      <c r="D89" s="2036" t="str">
        <f>'3A1 Fermentación E.'!D71</f>
        <v>NA</v>
      </c>
      <c r="E89" s="2036">
        <f>'3A1 Fermentación E.'!E71</f>
        <v>0</v>
      </c>
      <c r="F89" s="1045" t="s">
        <v>43</v>
      </c>
    </row>
  </sheetData>
  <conditionalFormatting sqref="F6">
    <cfRule type="expression" dxfId="10" priority="1">
      <formula>"&lt;0,01"</formula>
    </cfRule>
  </conditionalFormatting>
  <conditionalFormatting sqref="H6">
    <cfRule type="cellIs" dxfId="9" priority="3" operator="between">
      <formula>0</formula>
      <formula>0.000001</formula>
    </cfRule>
  </conditionalFormatting>
  <dataValidations count="1">
    <dataValidation allowBlank="1" showInputMessage="1" showErrorMessage="1" sqref="N7:N15 P1:IW5 N1:N5 J22:N22 G55:G79 N6:IW6 M1:M7 I1:I16 O7:IW22 G11:G53 B11:F32 J1:L15 M10:M15 C56:F65564 B33:B65564 H11:H65551 C33:F48 I24:IW65551 I23 K23:IW23 B1:H10 G82:G88 G90:G65564" xr:uid="{643FC5F3-E1F8-48AB-8690-4E7260E8585F}"/>
  </dataValidations>
  <hyperlinks>
    <hyperlink ref="B6" location="Index" display="Back to Index" xr:uid="{012A9E31-28B5-4B57-884A-C657307954D7}"/>
  </hyperlinks>
  <printOptions horizontalCentered="1" verticalCentered="1"/>
  <pageMargins left="0.39370078740157483" right="0.39370078740157483" top="0.39370078740157483" bottom="0.39370078740157483" header="0.19685039370078741" footer="0.19685039370078741"/>
  <pageSetup paperSize="9" scale="65" fitToWidth="0" fitToHeight="0" orientation="portrait" r:id="rId1"/>
  <headerFooter alignWithMargins="0">
    <oddFooter>&amp;L&amp;A</oddFooter>
  </headerFooter>
  <colBreaks count="1" manualBreakCount="1">
    <brk id="7" max="64" man="1"/>
  </colBreaks>
  <drawing r:id="rId2"/>
  <extLst>
    <ext xmlns:x14="http://schemas.microsoft.com/office/spreadsheetml/2009/9/main" uri="{78C0D931-6437-407d-A8EE-F0AAD7539E65}">
      <x14:conditionalFormattings>
        <x14:conditionalFormatting xmlns:xm="http://schemas.microsoft.com/office/excel/2006/main">
          <x14:cfRule type="expression" priority="2" id="{05256B96-B43D-4945-9775-B9F3D882655A}">
            <xm:f>$G$6-RESULTADOS!$C$8=0</xm:f>
            <x14:dxf>
              <fill>
                <patternFill>
                  <bgColor theme="9" tint="0.59996337778862885"/>
                </patternFill>
              </fill>
            </x14:dxf>
          </x14:cfRule>
          <xm:sqref>I1</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2868-9412-4F8F-AB54-620B3072355E}">
  <sheetPr>
    <tabColor theme="5" tint="-0.249977111117893"/>
    <pageSetUpPr fitToPage="1"/>
  </sheetPr>
  <dimension ref="A1:AB84"/>
  <sheetViews>
    <sheetView showGridLines="0" zoomScale="50" zoomScaleNormal="50" zoomScaleSheetLayoutView="100" workbookViewId="0">
      <pane ySplit="9" topLeftCell="A10" activePane="bottomLeft" state="frozen"/>
      <selection activeCell="L28" sqref="L28"/>
      <selection pane="bottomLeft" activeCell="O5" sqref="O5"/>
    </sheetView>
  </sheetViews>
  <sheetFormatPr defaultColWidth="7.33203125" defaultRowHeight="13"/>
  <cols>
    <col min="1" max="1" width="1.6640625" style="929" customWidth="1"/>
    <col min="2" max="2" width="32.58203125" style="929" bestFit="1" customWidth="1"/>
    <col min="3" max="3" width="10.58203125" style="929" bestFit="1" customWidth="1"/>
    <col min="4" max="4" width="7.5" style="929" customWidth="1"/>
    <col min="5" max="5" width="7.83203125" style="929" customWidth="1"/>
    <col min="6" max="6" width="7.5" style="929" customWidth="1"/>
    <col min="7" max="8" width="13.9140625" style="929" customWidth="1"/>
    <col min="9" max="9" width="8.9140625" style="929" customWidth="1"/>
    <col min="10" max="10" width="13.6640625" style="929" customWidth="1"/>
    <col min="11" max="11" width="16.75" style="929" customWidth="1"/>
    <col min="12" max="12" width="3.1640625" style="929" customWidth="1"/>
    <col min="13" max="13" width="5.33203125" style="929" bestFit="1" customWidth="1"/>
    <col min="14" max="14" width="10.83203125" style="929" bestFit="1" customWidth="1"/>
    <col min="15" max="15" width="9.9140625" style="929" customWidth="1"/>
    <col min="16" max="16" width="9.33203125" style="929" customWidth="1"/>
    <col min="17" max="28" width="5.33203125" style="929" customWidth="1"/>
    <col min="29" max="16384" width="7.33203125" style="929"/>
  </cols>
  <sheetData>
    <row r="1" spans="1:28" ht="15.75" customHeight="1">
      <c r="B1" s="930" t="s">
        <v>1569</v>
      </c>
      <c r="J1" s="1160"/>
      <c r="K1" s="1160" t="s">
        <v>1455</v>
      </c>
      <c r="M1" s="929">
        <v>2018</v>
      </c>
    </row>
    <row r="2" spans="1:28" ht="17.25" customHeight="1">
      <c r="B2" s="930" t="s">
        <v>1570</v>
      </c>
      <c r="J2" s="1160"/>
      <c r="K2" s="1160" t="s">
        <v>1457</v>
      </c>
    </row>
    <row r="3" spans="1:28" ht="15.75" customHeight="1">
      <c r="B3" s="930" t="s">
        <v>1456</v>
      </c>
      <c r="J3" s="1160"/>
      <c r="K3" s="1160" t="s">
        <v>1458</v>
      </c>
      <c r="M3" s="929" t="s">
        <v>2243</v>
      </c>
    </row>
    <row r="4" spans="1:28" ht="12" customHeight="1" thickBot="1">
      <c r="B4" s="930"/>
      <c r="J4" s="1160"/>
      <c r="K4" s="1160"/>
    </row>
    <row r="5" spans="1:28" s="1044" customFormat="1" ht="12" customHeight="1" thickBot="1">
      <c r="B5" s="932" t="s">
        <v>1459</v>
      </c>
      <c r="C5" s="1044" t="s">
        <v>1089</v>
      </c>
      <c r="G5" s="929"/>
      <c r="H5" s="929"/>
      <c r="J5" s="2049" t="str">
        <f>IF(K5-RESULTADOS!C18&lt;0.0001,"OK","NO")</f>
        <v>OK</v>
      </c>
      <c r="K5" s="2052">
        <f>K15+K22+K25+K28</f>
        <v>15.824680030861442</v>
      </c>
      <c r="M5" s="1161" t="s">
        <v>1571</v>
      </c>
      <c r="N5" s="1161"/>
      <c r="O5" s="1161"/>
      <c r="P5" s="1161"/>
      <c r="Q5" s="1161"/>
      <c r="R5" s="1161"/>
      <c r="S5" s="1161"/>
      <c r="T5" s="1161"/>
      <c r="U5" s="1161"/>
      <c r="V5" s="1161"/>
      <c r="W5" s="1161"/>
      <c r="X5" s="1161"/>
      <c r="Y5" s="1161"/>
      <c r="Z5" s="1161"/>
      <c r="AA5" s="1161"/>
      <c r="AB5" s="1161"/>
    </row>
    <row r="6" spans="1:28" s="1044" customFormat="1" ht="26.5" customHeight="1">
      <c r="B6" s="1162" t="s">
        <v>1572</v>
      </c>
      <c r="C6" s="1163" t="s">
        <v>1521</v>
      </c>
      <c r="D6" s="1163"/>
      <c r="E6" s="1163"/>
      <c r="F6" s="1163"/>
      <c r="G6" s="1163"/>
      <c r="H6" s="1163"/>
      <c r="I6" s="1163"/>
      <c r="J6" s="1164" t="s">
        <v>1522</v>
      </c>
      <c r="K6" s="1165" t="s">
        <v>1523</v>
      </c>
      <c r="M6" s="1166"/>
      <c r="N6" s="1167"/>
      <c r="O6" s="1168"/>
      <c r="P6" s="1169"/>
      <c r="Q6" s="1170" t="s">
        <v>1573</v>
      </c>
      <c r="R6" s="1171"/>
      <c r="S6" s="1171"/>
      <c r="T6" s="1171"/>
      <c r="U6" s="1171"/>
      <c r="V6" s="1171"/>
      <c r="W6" s="1171"/>
      <c r="X6" s="1171"/>
      <c r="Y6" s="1171"/>
      <c r="Z6" s="1171"/>
      <c r="AA6" s="1171"/>
      <c r="AB6" s="1172"/>
    </row>
    <row r="7" spans="1:28" s="1044" customFormat="1" ht="73.5" customHeight="1">
      <c r="B7" s="1173" t="s">
        <v>1574</v>
      </c>
      <c r="C7" s="1174" t="s">
        <v>1575</v>
      </c>
      <c r="D7" s="1175" t="s">
        <v>1576</v>
      </c>
      <c r="E7" s="1176"/>
      <c r="F7" s="1177"/>
      <c r="G7" s="1178" t="s">
        <v>1577</v>
      </c>
      <c r="H7" s="1178" t="s">
        <v>1578</v>
      </c>
      <c r="I7" s="1179" t="s">
        <v>1579</v>
      </c>
      <c r="J7" s="1180"/>
      <c r="K7" s="1181"/>
      <c r="M7" s="1182"/>
      <c r="N7" s="1183"/>
      <c r="O7" s="1184" t="s">
        <v>1580</v>
      </c>
      <c r="P7" s="1185" t="s">
        <v>1581</v>
      </c>
      <c r="Q7" s="1186" t="s">
        <v>1582</v>
      </c>
      <c r="R7" s="1187" t="s">
        <v>1583</v>
      </c>
      <c r="S7" s="1187" t="s">
        <v>1584</v>
      </c>
      <c r="T7" s="1187" t="s">
        <v>1585</v>
      </c>
      <c r="U7" s="1187" t="s">
        <v>1586</v>
      </c>
      <c r="V7" s="1187" t="s">
        <v>1587</v>
      </c>
      <c r="W7" s="1187" t="s">
        <v>1588</v>
      </c>
      <c r="X7" s="1188" t="s">
        <v>1589</v>
      </c>
      <c r="Y7" s="1188" t="s">
        <v>1590</v>
      </c>
      <c r="Z7" s="1188" t="s">
        <v>1591</v>
      </c>
      <c r="AA7" s="1188" t="s">
        <v>1592</v>
      </c>
      <c r="AB7" s="1189" t="s">
        <v>1593</v>
      </c>
    </row>
    <row r="8" spans="1:28" s="1044" customFormat="1" ht="13.5">
      <c r="A8" s="929"/>
      <c r="B8" s="1190"/>
      <c r="C8" s="1191"/>
      <c r="D8" s="1192" t="s">
        <v>1594</v>
      </c>
      <c r="E8" s="1192" t="s">
        <v>1595</v>
      </c>
      <c r="F8" s="1193" t="s">
        <v>1596</v>
      </c>
      <c r="G8" s="1194"/>
      <c r="H8" s="1194"/>
      <c r="I8" s="1195"/>
      <c r="J8" s="1196" t="s">
        <v>1597</v>
      </c>
      <c r="K8" s="1197" t="s">
        <v>1597</v>
      </c>
      <c r="M8" s="1182"/>
      <c r="N8" s="1183"/>
      <c r="O8" s="1198"/>
      <c r="P8" s="1199"/>
      <c r="Q8" s="1198"/>
      <c r="R8" s="1200"/>
      <c r="S8" s="1200"/>
      <c r="T8" s="1201"/>
      <c r="U8" s="1201"/>
      <c r="V8" s="1201"/>
      <c r="W8" s="1201"/>
      <c r="X8" s="1202"/>
      <c r="Y8" s="1202"/>
      <c r="Z8" s="1202"/>
      <c r="AA8" s="1202"/>
      <c r="AB8" s="1203"/>
    </row>
    <row r="9" spans="1:28" s="1044" customFormat="1" ht="27" thickBot="1">
      <c r="B9" s="1204"/>
      <c r="C9" s="1205" t="s">
        <v>1531</v>
      </c>
      <c r="D9" s="1206" t="s">
        <v>1598</v>
      </c>
      <c r="E9" s="1207"/>
      <c r="F9" s="1208"/>
      <c r="G9" s="1065" t="s">
        <v>1599</v>
      </c>
      <c r="H9" s="1065" t="s">
        <v>1600</v>
      </c>
      <c r="I9" s="1065" t="s">
        <v>1601</v>
      </c>
      <c r="J9" s="1209" t="s">
        <v>1602</v>
      </c>
      <c r="K9" s="1210" t="s">
        <v>1469</v>
      </c>
      <c r="M9" s="1211" t="s">
        <v>1603</v>
      </c>
      <c r="N9" s="1212"/>
      <c r="O9" s="1213"/>
      <c r="P9" s="1214"/>
      <c r="Q9" s="1213"/>
      <c r="R9" s="1215"/>
      <c r="S9" s="1215"/>
      <c r="T9" s="1216"/>
      <c r="U9" s="1216"/>
      <c r="V9" s="1216"/>
      <c r="W9" s="1216"/>
      <c r="X9" s="1217"/>
      <c r="Y9" s="1217"/>
      <c r="Z9" s="1217"/>
      <c r="AA9" s="1217"/>
      <c r="AB9" s="1218"/>
    </row>
    <row r="10" spans="1:28" s="1044" customFormat="1" ht="18" customHeight="1" thickTop="1" thickBot="1">
      <c r="B10" s="1219" t="s">
        <v>1604</v>
      </c>
      <c r="C10" s="1334">
        <f>C15</f>
        <v>4056.7956932725729</v>
      </c>
      <c r="D10" s="977"/>
      <c r="E10" s="977"/>
      <c r="F10" s="977"/>
      <c r="G10" s="977"/>
      <c r="H10" s="977"/>
      <c r="I10" s="1220"/>
      <c r="J10" s="1987">
        <f>K10/C10</f>
        <v>1.9038711049876554E-3</v>
      </c>
      <c r="K10" s="1332">
        <f>K15</f>
        <v>7.7236160992600151</v>
      </c>
      <c r="M10" s="1222" t="s">
        <v>1605</v>
      </c>
      <c r="N10" s="1222" t="s">
        <v>1606</v>
      </c>
      <c r="O10" s="1223" t="s">
        <v>1607</v>
      </c>
      <c r="P10" s="1224" t="s">
        <v>1594</v>
      </c>
      <c r="Q10" s="1225" t="s">
        <v>2213</v>
      </c>
      <c r="R10" s="1225" t="s">
        <v>2213</v>
      </c>
      <c r="S10" s="1225" t="s">
        <v>2213</v>
      </c>
      <c r="T10" s="1225" t="s">
        <v>2213</v>
      </c>
      <c r="U10" s="1225" t="s">
        <v>2213</v>
      </c>
      <c r="V10" s="1225" t="s">
        <v>2213</v>
      </c>
      <c r="W10" s="1225" t="s">
        <v>2213</v>
      </c>
      <c r="X10" s="1225" t="s">
        <v>2213</v>
      </c>
      <c r="Y10" s="1225" t="s">
        <v>2213</v>
      </c>
      <c r="Z10" s="1225" t="s">
        <v>2213</v>
      </c>
      <c r="AA10" s="1225" t="s">
        <v>2213</v>
      </c>
      <c r="AB10" s="1225" t="s">
        <v>2213</v>
      </c>
    </row>
    <row r="11" spans="1:28" s="1044" customFormat="1" ht="18" customHeight="1" thickBot="1">
      <c r="B11" s="1226" t="s">
        <v>1474</v>
      </c>
      <c r="C11" s="1335"/>
      <c r="D11" s="977"/>
      <c r="E11" s="977"/>
      <c r="F11" s="977"/>
      <c r="G11" s="977"/>
      <c r="H11" s="977"/>
      <c r="I11" s="1220"/>
      <c r="J11" s="1988"/>
      <c r="K11" s="1227"/>
      <c r="M11" s="1228" t="s">
        <v>7</v>
      </c>
      <c r="N11" s="1228" t="s">
        <v>1608</v>
      </c>
      <c r="O11" s="1229" t="s">
        <v>1598</v>
      </c>
      <c r="P11" s="1230" t="s">
        <v>1595</v>
      </c>
      <c r="Q11" s="1225" t="s">
        <v>2213</v>
      </c>
      <c r="R11" s="1225" t="s">
        <v>2213</v>
      </c>
      <c r="S11" s="1225" t="s">
        <v>2213</v>
      </c>
      <c r="T11" s="1225" t="s">
        <v>2213</v>
      </c>
      <c r="U11" s="1225" t="s">
        <v>2213</v>
      </c>
      <c r="V11" s="1225" t="s">
        <v>2213</v>
      </c>
      <c r="W11" s="1225" t="s">
        <v>2213</v>
      </c>
      <c r="X11" s="1225" t="s">
        <v>2213</v>
      </c>
      <c r="Y11" s="1225" t="s">
        <v>2213</v>
      </c>
      <c r="Z11" s="1225" t="s">
        <v>2213</v>
      </c>
      <c r="AA11" s="1225" t="s">
        <v>2213</v>
      </c>
      <c r="AB11" s="1225" t="s">
        <v>2213</v>
      </c>
    </row>
    <row r="12" spans="1:28" s="1044" customFormat="1" ht="18" customHeight="1" thickBot="1">
      <c r="B12" s="1231" t="s">
        <v>1488</v>
      </c>
      <c r="C12" s="2051" t="s">
        <v>2213</v>
      </c>
      <c r="D12" s="2051" t="s">
        <v>2213</v>
      </c>
      <c r="E12" s="2051" t="s">
        <v>2213</v>
      </c>
      <c r="F12" s="2051" t="s">
        <v>2213</v>
      </c>
      <c r="G12" s="2051" t="s">
        <v>2213</v>
      </c>
      <c r="H12" s="2051" t="s">
        <v>2213</v>
      </c>
      <c r="I12" s="2051" t="s">
        <v>2213</v>
      </c>
      <c r="J12" s="1989" t="s">
        <v>2213</v>
      </c>
      <c r="K12" s="1986" t="s">
        <v>2213</v>
      </c>
      <c r="M12" s="1234"/>
      <c r="N12" s="1235"/>
      <c r="O12" s="1236"/>
      <c r="P12" s="1230" t="s">
        <v>1596</v>
      </c>
      <c r="Q12" s="1225" t="s">
        <v>2213</v>
      </c>
      <c r="R12" s="1225" t="s">
        <v>2213</v>
      </c>
      <c r="S12" s="1225" t="s">
        <v>2213</v>
      </c>
      <c r="T12" s="1225" t="s">
        <v>2213</v>
      </c>
      <c r="U12" s="1225" t="s">
        <v>2213</v>
      </c>
      <c r="V12" s="1225" t="s">
        <v>2213</v>
      </c>
      <c r="W12" s="1225" t="s">
        <v>2213</v>
      </c>
      <c r="X12" s="1225" t="s">
        <v>2213</v>
      </c>
      <c r="Y12" s="1225" t="s">
        <v>2213</v>
      </c>
      <c r="Z12" s="1225" t="s">
        <v>2213</v>
      </c>
      <c r="AA12" s="1225" t="s">
        <v>2213</v>
      </c>
      <c r="AB12" s="1225" t="s">
        <v>2213</v>
      </c>
    </row>
    <row r="13" spans="1:28" s="1044" customFormat="1" ht="18" customHeight="1" thickBot="1">
      <c r="B13" s="1231" t="s">
        <v>1489</v>
      </c>
      <c r="C13" s="2051" t="s">
        <v>2213</v>
      </c>
      <c r="D13" s="2051" t="s">
        <v>2213</v>
      </c>
      <c r="E13" s="2051" t="s">
        <v>2213</v>
      </c>
      <c r="F13" s="2051" t="s">
        <v>2213</v>
      </c>
      <c r="G13" s="2051" t="s">
        <v>2213</v>
      </c>
      <c r="H13" s="2051" t="s">
        <v>2213</v>
      </c>
      <c r="I13" s="2051" t="s">
        <v>2213</v>
      </c>
      <c r="J13" s="1989" t="s">
        <v>2213</v>
      </c>
      <c r="K13" s="1986" t="s">
        <v>2213</v>
      </c>
      <c r="M13" s="1234"/>
      <c r="N13" s="1235"/>
      <c r="O13" s="1238" t="s">
        <v>1609</v>
      </c>
      <c r="P13" s="1224" t="s">
        <v>1594</v>
      </c>
      <c r="Q13" s="1225" t="s">
        <v>2213</v>
      </c>
      <c r="R13" s="1225" t="s">
        <v>2213</v>
      </c>
      <c r="S13" s="1225" t="s">
        <v>2213</v>
      </c>
      <c r="T13" s="1225" t="s">
        <v>2213</v>
      </c>
      <c r="U13" s="1225" t="s">
        <v>2213</v>
      </c>
      <c r="V13" s="1225" t="s">
        <v>2213</v>
      </c>
      <c r="W13" s="1225" t="s">
        <v>2213</v>
      </c>
      <c r="X13" s="1225" t="s">
        <v>2213</v>
      </c>
      <c r="Y13" s="1225" t="s">
        <v>2213</v>
      </c>
      <c r="Z13" s="1225" t="s">
        <v>2213</v>
      </c>
      <c r="AA13" s="1225" t="s">
        <v>2213</v>
      </c>
      <c r="AB13" s="1225" t="s">
        <v>2213</v>
      </c>
    </row>
    <row r="14" spans="1:28" s="1044" customFormat="1" ht="18" customHeight="1" thickBot="1">
      <c r="B14" s="1226" t="s">
        <v>1543</v>
      </c>
      <c r="C14" s="1336"/>
      <c r="D14" s="1239"/>
      <c r="E14" s="1239"/>
      <c r="F14" s="1239"/>
      <c r="G14" s="1240"/>
      <c r="H14" s="1241"/>
      <c r="I14" s="1242"/>
      <c r="J14" s="1990"/>
      <c r="K14" s="1243"/>
      <c r="M14" s="1234"/>
      <c r="N14" s="1235"/>
      <c r="O14" s="1244"/>
      <c r="P14" s="1230" t="s">
        <v>1595</v>
      </c>
      <c r="Q14" s="1225" t="s">
        <v>2213</v>
      </c>
      <c r="R14" s="1225" t="s">
        <v>2213</v>
      </c>
      <c r="S14" s="1225" t="s">
        <v>2213</v>
      </c>
      <c r="T14" s="1225" t="s">
        <v>2213</v>
      </c>
      <c r="U14" s="1225" t="s">
        <v>2213</v>
      </c>
      <c r="V14" s="1225" t="s">
        <v>2213</v>
      </c>
      <c r="W14" s="1225" t="s">
        <v>2213</v>
      </c>
      <c r="X14" s="1225" t="s">
        <v>2213</v>
      </c>
      <c r="Y14" s="1225" t="s">
        <v>2213</v>
      </c>
      <c r="Z14" s="1225" t="s">
        <v>2213</v>
      </c>
      <c r="AA14" s="1225" t="s">
        <v>2213</v>
      </c>
      <c r="AB14" s="1225" t="s">
        <v>2213</v>
      </c>
    </row>
    <row r="15" spans="1:28" s="1044" customFormat="1" ht="18" customHeight="1" thickBot="1">
      <c r="B15" s="1231" t="s">
        <v>1610</v>
      </c>
      <c r="C15" s="1337">
        <f>SUM(C17:C19)</f>
        <v>4056.7956932725729</v>
      </c>
      <c r="D15" s="1239"/>
      <c r="E15" s="1239"/>
      <c r="F15" s="1239"/>
      <c r="G15" s="1239"/>
      <c r="H15" s="1239"/>
      <c r="I15" s="1240"/>
      <c r="J15" s="1987">
        <f>K15/C15</f>
        <v>1.9038711049876554E-3</v>
      </c>
      <c r="K15" s="1332">
        <f>SUM(K17:K19)</f>
        <v>7.7236160992600151</v>
      </c>
      <c r="M15" s="1234"/>
      <c r="N15" s="1246"/>
      <c r="O15" s="1247"/>
      <c r="P15" s="1230" t="s">
        <v>1596</v>
      </c>
      <c r="Q15" s="1225" t="s">
        <v>2213</v>
      </c>
      <c r="R15" s="1225" t="s">
        <v>2213</v>
      </c>
      <c r="S15" s="1225" t="s">
        <v>2213</v>
      </c>
      <c r="T15" s="1225" t="s">
        <v>2213</v>
      </c>
      <c r="U15" s="1225" t="s">
        <v>2213</v>
      </c>
      <c r="V15" s="1225" t="s">
        <v>2213</v>
      </c>
      <c r="W15" s="1225" t="s">
        <v>2213</v>
      </c>
      <c r="X15" s="1225" t="s">
        <v>2213</v>
      </c>
      <c r="Y15" s="1225" t="s">
        <v>2213</v>
      </c>
      <c r="Z15" s="1225" t="s">
        <v>2213</v>
      </c>
      <c r="AA15" s="1225" t="s">
        <v>2213</v>
      </c>
      <c r="AB15" s="1225" t="s">
        <v>2213</v>
      </c>
    </row>
    <row r="16" spans="1:28" s="1044" customFormat="1" ht="18" customHeight="1" thickBot="1">
      <c r="B16" s="1250" t="s">
        <v>1554</v>
      </c>
      <c r="C16" s="1333"/>
      <c r="D16" s="1251"/>
      <c r="E16" s="1251"/>
      <c r="F16" s="1251"/>
      <c r="G16" s="1251"/>
      <c r="H16" s="1251"/>
      <c r="I16" s="1252"/>
      <c r="J16" s="1991"/>
      <c r="K16" s="1253"/>
      <c r="M16" s="1234"/>
      <c r="N16" s="1222" t="s">
        <v>1611</v>
      </c>
      <c r="O16" s="1223" t="s">
        <v>1607</v>
      </c>
      <c r="P16" s="1224" t="s">
        <v>1594</v>
      </c>
      <c r="Q16" s="1225" t="s">
        <v>2213</v>
      </c>
      <c r="R16" s="1225" t="s">
        <v>2213</v>
      </c>
      <c r="S16" s="1225" t="s">
        <v>2213</v>
      </c>
      <c r="T16" s="1225" t="s">
        <v>2213</v>
      </c>
      <c r="U16" s="1225" t="s">
        <v>2213</v>
      </c>
      <c r="V16" s="1225" t="s">
        <v>2213</v>
      </c>
      <c r="W16" s="1225" t="s">
        <v>2213</v>
      </c>
      <c r="X16" s="1225" t="s">
        <v>2213</v>
      </c>
      <c r="Y16" s="1225" t="s">
        <v>2213</v>
      </c>
      <c r="Z16" s="1225" t="s">
        <v>2213</v>
      </c>
      <c r="AA16" s="1225" t="s">
        <v>2213</v>
      </c>
      <c r="AB16" s="1225" t="s">
        <v>2213</v>
      </c>
    </row>
    <row r="17" spans="2:28" s="1044" customFormat="1" ht="18" customHeight="1" thickBot="1">
      <c r="B17" s="1254" t="s">
        <v>1491</v>
      </c>
      <c r="C17" s="1319">
        <f>Table3.A!C17</f>
        <v>832.52759267704232</v>
      </c>
      <c r="D17" s="1318">
        <f>'3B Gestión Estiércol N2O Ind'!E15/SUM('3B Gestión Estiércol N2O Ind'!E15:E17)*100</f>
        <v>62.77797527713399</v>
      </c>
      <c r="E17" s="1318">
        <f>'3B Gestión Estiércol N2O Ind'!E17/SUM('3B Gestión Estiércol N2O Ind'!E15:E17)*100</f>
        <v>5.7200529244623883</v>
      </c>
      <c r="F17" s="1318">
        <f>'3B Gestión Estiércol N2O Ind'!E16/SUM('3B Gestión Estiércol N2O Ind'!E15:G17)*100</f>
        <v>31.447168849534702</v>
      </c>
      <c r="G17" s="1321">
        <f>AVERAGE('3B Gestión Estiércol N2O Ind'!G15:G17)</f>
        <v>483.22499368183662</v>
      </c>
      <c r="H17" s="1322">
        <f>AVERAGE('3B Manejo de Estiércol CH4'!E13:E15)</f>
        <v>7.8666666666666671</v>
      </c>
      <c r="I17" s="1256"/>
      <c r="J17" s="1987">
        <f>K17/C17</f>
        <v>1.0494029374499094E-3</v>
      </c>
      <c r="K17" s="1323">
        <f>SUM('3B Manejo de Estiércol CH4'!T13:T15)/1000000</f>
        <v>0.87365690126338991</v>
      </c>
      <c r="M17" s="1234"/>
      <c r="N17" s="1228" t="s">
        <v>1608</v>
      </c>
      <c r="O17" s="1229" t="s">
        <v>1598</v>
      </c>
      <c r="P17" s="1230" t="s">
        <v>1595</v>
      </c>
      <c r="Q17" s="1225" t="s">
        <v>2213</v>
      </c>
      <c r="R17" s="1225" t="s">
        <v>2213</v>
      </c>
      <c r="S17" s="1225" t="s">
        <v>2213</v>
      </c>
      <c r="T17" s="1225" t="s">
        <v>2213</v>
      </c>
      <c r="U17" s="1225" t="s">
        <v>2213</v>
      </c>
      <c r="V17" s="1225" t="s">
        <v>2213</v>
      </c>
      <c r="W17" s="1225" t="s">
        <v>2213</v>
      </c>
      <c r="X17" s="1225" t="s">
        <v>2213</v>
      </c>
      <c r="Y17" s="1225" t="s">
        <v>2213</v>
      </c>
      <c r="Z17" s="1225" t="s">
        <v>2213</v>
      </c>
      <c r="AA17" s="1225" t="s">
        <v>2213</v>
      </c>
      <c r="AB17" s="1225" t="s">
        <v>2213</v>
      </c>
    </row>
    <row r="18" spans="2:28" s="1044" customFormat="1" ht="18" customHeight="1" thickBot="1">
      <c r="B18" s="1254" t="s">
        <v>1492</v>
      </c>
      <c r="C18" s="1319">
        <f>Table3.A!C18</f>
        <v>982.98407351386663</v>
      </c>
      <c r="D18" s="1318">
        <f>('3B Gestión Estiércol N2O Ind'!E18/SUM('3B Gestión Estiércol N2O Ind'!E18:E23)+(('3B Gestión Estiércol N2O Ind'!E21)/SUM('3B Gestión Estiércol N2O Ind'!E18:E23)))*100</f>
        <v>41.148817238112919</v>
      </c>
      <c r="E18" s="1319">
        <f>(('3B Gestión Estiércol N2O Ind'!E20+'3B Gestión Estiércol N2O Ind'!E23)/(SUM('3B Gestión Estiércol N2O Ind'!E18:E23))*100)</f>
        <v>10.47498722189189</v>
      </c>
      <c r="F18" s="1320">
        <f>('3B Gestión Estiércol N2O Ind'!E19/(SUM('3B Gestión Estiércol N2O Ind'!E18:E23))+(('3B Gestión Estiércol N2O Ind'!E22/(SUM('3B Gestión Estiércol N2O Ind'!E18:E23)))))*100</f>
        <v>48.376195539995202</v>
      </c>
      <c r="G18" s="1321">
        <f>AVERAGE('3B Gestión Estiércol N2O Ind'!G18:G23)</f>
        <v>457.19770510565962</v>
      </c>
      <c r="H18" s="1322">
        <f>AVERAGE('3B Manejo de Estiércol CH4'!E16:E21)</f>
        <v>7.8666666666666671</v>
      </c>
      <c r="I18" s="1256"/>
      <c r="J18" s="1987">
        <f>K18/C18</f>
        <v>3.8187176823540566E-3</v>
      </c>
      <c r="K18" s="1324">
        <f>SUM('3B Manejo de Estiércol CH4'!T16:T21)/1000000</f>
        <v>3.7537386629998224</v>
      </c>
      <c r="M18" s="1234"/>
      <c r="N18" s="1257"/>
      <c r="O18" s="1236"/>
      <c r="P18" s="1230" t="s">
        <v>1596</v>
      </c>
      <c r="Q18" s="1225" t="s">
        <v>2213</v>
      </c>
      <c r="R18" s="1225" t="s">
        <v>2213</v>
      </c>
      <c r="S18" s="1225" t="s">
        <v>2213</v>
      </c>
      <c r="T18" s="1225" t="s">
        <v>2213</v>
      </c>
      <c r="U18" s="1225" t="s">
        <v>2213</v>
      </c>
      <c r="V18" s="1225" t="s">
        <v>2213</v>
      </c>
      <c r="W18" s="1225" t="s">
        <v>2213</v>
      </c>
      <c r="X18" s="1225" t="s">
        <v>2213</v>
      </c>
      <c r="Y18" s="1225" t="s">
        <v>2213</v>
      </c>
      <c r="Z18" s="1225" t="s">
        <v>2213</v>
      </c>
      <c r="AA18" s="1225" t="s">
        <v>2213</v>
      </c>
      <c r="AB18" s="1225" t="s">
        <v>2213</v>
      </c>
    </row>
    <row r="19" spans="2:28" s="1044" customFormat="1" ht="18" customHeight="1" thickBot="1">
      <c r="B19" s="1254" t="s">
        <v>1493</v>
      </c>
      <c r="C19" s="1319">
        <f>Table3.A!C19</f>
        <v>2241.2840270816637</v>
      </c>
      <c r="D19" s="1319">
        <f>('3B Gestión Estiércol N2O Ind'!E24/SUM('3B Gestión Estiércol N2O Ind'!E24:E26))*100</f>
        <v>46.250294880961548</v>
      </c>
      <c r="E19" s="1319">
        <f>('3B Gestión Estiércol N2O Ind'!E26/SUM('3B Gestión Estiércol N2O Ind'!E24:E26))*100</f>
        <v>9.8396397774463384</v>
      </c>
      <c r="F19" s="1319">
        <f>100-D19-E19</f>
        <v>43.910065341592116</v>
      </c>
      <c r="G19" s="1321">
        <f>AVERAGE('3B Gestión Estiércol N2O Ind'!G24:G26)</f>
        <v>171.50483491320426</v>
      </c>
      <c r="H19" s="1322">
        <f>AVERAGE('3B Manejo de Estiércol CH4'!E22:E24)</f>
        <v>7.8666666666666671</v>
      </c>
      <c r="I19" s="1256"/>
      <c r="J19" s="1987">
        <f>K19/C19</f>
        <v>1.3814494270181082E-3</v>
      </c>
      <c r="K19" s="1324">
        <f>SUM('3B Manejo de Estiércol CH4'!T22:T24)/1000000</f>
        <v>3.0962205349968026</v>
      </c>
      <c r="M19" s="1234"/>
      <c r="N19" s="1257"/>
      <c r="O19" s="1238" t="s">
        <v>1609</v>
      </c>
      <c r="P19" s="1224" t="s">
        <v>1594</v>
      </c>
      <c r="Q19" s="1225" t="s">
        <v>2213</v>
      </c>
      <c r="R19" s="1225" t="s">
        <v>2213</v>
      </c>
      <c r="S19" s="1225" t="s">
        <v>2213</v>
      </c>
      <c r="T19" s="1225" t="s">
        <v>2213</v>
      </c>
      <c r="U19" s="1225" t="s">
        <v>2213</v>
      </c>
      <c r="V19" s="1225" t="s">
        <v>2213</v>
      </c>
      <c r="W19" s="1225" t="s">
        <v>2213</v>
      </c>
      <c r="X19" s="1225" t="s">
        <v>2213</v>
      </c>
      <c r="Y19" s="1225" t="s">
        <v>2213</v>
      </c>
      <c r="Z19" s="1225" t="s">
        <v>2213</v>
      </c>
      <c r="AA19" s="1225" t="s">
        <v>2213</v>
      </c>
      <c r="AB19" s="1225" t="s">
        <v>2213</v>
      </c>
    </row>
    <row r="20" spans="2:28" s="1044" customFormat="1" ht="18" customHeight="1" thickBot="1">
      <c r="B20" s="1258" t="s">
        <v>1612</v>
      </c>
      <c r="C20" s="1245" t="s">
        <v>41</v>
      </c>
      <c r="D20" s="1239"/>
      <c r="E20" s="1239"/>
      <c r="F20" s="1239"/>
      <c r="G20" s="1239"/>
      <c r="H20" s="1239"/>
      <c r="I20" s="1240"/>
      <c r="J20" s="1989" t="s">
        <v>41</v>
      </c>
      <c r="K20" s="1221" t="s">
        <v>41</v>
      </c>
      <c r="M20" s="1234"/>
      <c r="N20" s="1257"/>
      <c r="O20" s="1244"/>
      <c r="P20" s="1230" t="s">
        <v>1595</v>
      </c>
      <c r="Q20" s="1225" t="s">
        <v>2213</v>
      </c>
      <c r="R20" s="1225" t="s">
        <v>2213</v>
      </c>
      <c r="S20" s="1225" t="s">
        <v>2213</v>
      </c>
      <c r="T20" s="1225" t="s">
        <v>2213</v>
      </c>
      <c r="U20" s="1225" t="s">
        <v>2213</v>
      </c>
      <c r="V20" s="1225" t="s">
        <v>2213</v>
      </c>
      <c r="W20" s="1225" t="s">
        <v>2213</v>
      </c>
      <c r="X20" s="1225" t="s">
        <v>2213</v>
      </c>
      <c r="Y20" s="1225" t="s">
        <v>2213</v>
      </c>
      <c r="Z20" s="1225" t="s">
        <v>2213</v>
      </c>
      <c r="AA20" s="1225" t="s">
        <v>2213</v>
      </c>
      <c r="AB20" s="1225" t="s">
        <v>2213</v>
      </c>
    </row>
    <row r="21" spans="2:28" s="1044" customFormat="1" ht="18" customHeight="1" thickBot="1">
      <c r="B21" s="1259"/>
      <c r="C21" s="1260"/>
      <c r="D21" s="1261"/>
      <c r="E21" s="1261"/>
      <c r="F21" s="1261"/>
      <c r="G21" s="1262"/>
      <c r="H21" s="1263"/>
      <c r="I21" s="1264"/>
      <c r="J21" s="1989"/>
      <c r="K21" s="1233"/>
      <c r="M21" s="1265"/>
      <c r="N21" s="1266"/>
      <c r="O21" s="1247"/>
      <c r="P21" s="1230" t="s">
        <v>1596</v>
      </c>
      <c r="Q21" s="1225" t="s">
        <v>2213</v>
      </c>
      <c r="R21" s="1225" t="s">
        <v>2213</v>
      </c>
      <c r="S21" s="1225" t="s">
        <v>2213</v>
      </c>
      <c r="T21" s="1225" t="s">
        <v>2213</v>
      </c>
      <c r="U21" s="1225" t="s">
        <v>2213</v>
      </c>
      <c r="V21" s="1225" t="s">
        <v>2213</v>
      </c>
      <c r="W21" s="1225" t="s">
        <v>2213</v>
      </c>
      <c r="X21" s="1225" t="s">
        <v>2213</v>
      </c>
      <c r="Y21" s="1225" t="s">
        <v>2213</v>
      </c>
      <c r="Z21" s="1225" t="s">
        <v>2213</v>
      </c>
      <c r="AA21" s="1225" t="s">
        <v>2213</v>
      </c>
      <c r="AB21" s="1225" t="s">
        <v>2213</v>
      </c>
    </row>
    <row r="22" spans="2:28" s="1044" customFormat="1" ht="18" customHeight="1" thickBot="1">
      <c r="B22" s="1267" t="s">
        <v>1613</v>
      </c>
      <c r="C22" s="1325">
        <f>Table3.A!C22</f>
        <v>498.95201288858698</v>
      </c>
      <c r="D22" s="1268"/>
      <c r="E22" s="1268"/>
      <c r="F22" s="1268"/>
      <c r="G22" s="1268"/>
      <c r="H22" s="1268"/>
      <c r="I22" s="1269"/>
      <c r="J22" s="1987">
        <f>K22/C22</f>
        <v>7.7009889999999989E-5</v>
      </c>
      <c r="K22" s="1330">
        <f>'3B Manejo de Estiércol CH4'!T26/1000000</f>
        <v>3.8424239627828663E-2</v>
      </c>
      <c r="M22" s="1222" t="s">
        <v>1605</v>
      </c>
      <c r="N22" s="1270" t="s">
        <v>1614</v>
      </c>
      <c r="O22" s="1223" t="s">
        <v>1607</v>
      </c>
      <c r="P22" s="1224" t="s">
        <v>1594</v>
      </c>
      <c r="Q22" s="1225" t="s">
        <v>2213</v>
      </c>
      <c r="R22" s="1225" t="s">
        <v>2213</v>
      </c>
      <c r="S22" s="1225" t="s">
        <v>2213</v>
      </c>
      <c r="T22" s="1225" t="s">
        <v>2213</v>
      </c>
      <c r="U22" s="1225" t="s">
        <v>2213</v>
      </c>
      <c r="V22" s="1225" t="s">
        <v>2213</v>
      </c>
      <c r="W22" s="1225" t="s">
        <v>2213</v>
      </c>
      <c r="X22" s="1225" t="s">
        <v>2213</v>
      </c>
      <c r="Y22" s="1225" t="s">
        <v>2213</v>
      </c>
      <c r="Z22" s="1225" t="s">
        <v>2213</v>
      </c>
      <c r="AA22" s="1225" t="s">
        <v>2213</v>
      </c>
      <c r="AB22" s="1225" t="s">
        <v>2213</v>
      </c>
    </row>
    <row r="23" spans="2:28" s="1044" customFormat="1" ht="18" customHeight="1" thickBot="1">
      <c r="B23" s="1271" t="s">
        <v>1615</v>
      </c>
      <c r="C23" s="1325">
        <f>C22</f>
        <v>498.95201288858698</v>
      </c>
      <c r="D23" s="1101"/>
      <c r="E23" s="1101"/>
      <c r="F23" s="1101"/>
      <c r="G23" s="1101"/>
      <c r="H23" s="1101"/>
      <c r="I23" s="1102"/>
      <c r="J23" s="1987">
        <f>K23/C23</f>
        <v>7.7009889999999989E-5</v>
      </c>
      <c r="K23" s="1984">
        <f>K22</f>
        <v>3.8424239627828663E-2</v>
      </c>
      <c r="M23" s="1228" t="s">
        <v>837</v>
      </c>
      <c r="N23" s="1272"/>
      <c r="O23" s="1229" t="s">
        <v>1598</v>
      </c>
      <c r="P23" s="1230" t="s">
        <v>1595</v>
      </c>
      <c r="Q23" s="1225" t="s">
        <v>2213</v>
      </c>
      <c r="R23" s="1225" t="s">
        <v>2213</v>
      </c>
      <c r="S23" s="1225" t="s">
        <v>2213</v>
      </c>
      <c r="T23" s="1225" t="s">
        <v>2213</v>
      </c>
      <c r="U23" s="1225" t="s">
        <v>2213</v>
      </c>
      <c r="V23" s="1225" t="s">
        <v>2213</v>
      </c>
      <c r="W23" s="1225" t="s">
        <v>2213</v>
      </c>
      <c r="X23" s="1225" t="s">
        <v>2213</v>
      </c>
      <c r="Y23" s="1225" t="s">
        <v>2213</v>
      </c>
      <c r="Z23" s="1225" t="s">
        <v>2213</v>
      </c>
      <c r="AA23" s="1225" t="s">
        <v>2213</v>
      </c>
      <c r="AB23" s="1225" t="s">
        <v>2213</v>
      </c>
    </row>
    <row r="24" spans="2:28" s="1044" customFormat="1" ht="18" customHeight="1" thickBot="1">
      <c r="B24" s="1259"/>
      <c r="C24" s="1326"/>
      <c r="D24" s="1273"/>
      <c r="E24" s="1274"/>
      <c r="F24" s="1274"/>
      <c r="G24" s="1275"/>
      <c r="H24" s="1273"/>
      <c r="I24" s="1276"/>
      <c r="J24" s="1989"/>
      <c r="K24" s="1233"/>
      <c r="M24" s="1234"/>
      <c r="N24" s="1257"/>
      <c r="O24" s="1236"/>
      <c r="P24" s="1230" t="s">
        <v>1596</v>
      </c>
      <c r="Q24" s="1225" t="s">
        <v>2213</v>
      </c>
      <c r="R24" s="1225" t="s">
        <v>2213</v>
      </c>
      <c r="S24" s="1225" t="s">
        <v>2213</v>
      </c>
      <c r="T24" s="1225" t="s">
        <v>2213</v>
      </c>
      <c r="U24" s="1225" t="s">
        <v>2213</v>
      </c>
      <c r="V24" s="1225" t="s">
        <v>2213</v>
      </c>
      <c r="W24" s="1225" t="s">
        <v>2213</v>
      </c>
      <c r="X24" s="1225" t="s">
        <v>2213</v>
      </c>
      <c r="Y24" s="1225" t="s">
        <v>2213</v>
      </c>
      <c r="Z24" s="1225" t="s">
        <v>2213</v>
      </c>
      <c r="AA24" s="1225" t="s">
        <v>2213</v>
      </c>
      <c r="AB24" s="1225" t="s">
        <v>2213</v>
      </c>
    </row>
    <row r="25" spans="2:28" s="1044" customFormat="1" ht="18" customHeight="1" thickBot="1">
      <c r="B25" s="1267" t="s">
        <v>1616</v>
      </c>
      <c r="C25" s="1325">
        <f>Table3.A!C25</f>
        <v>1682.6620402921853</v>
      </c>
      <c r="D25" s="1101"/>
      <c r="E25" s="1101"/>
      <c r="F25" s="1101"/>
      <c r="G25" s="1101"/>
      <c r="H25" s="1101"/>
      <c r="I25" s="1102"/>
      <c r="J25" s="1987">
        <f>K25/C25</f>
        <v>4.2200632050000001E-3</v>
      </c>
      <c r="K25" s="1330">
        <f>'3B Manejo de Estiércol CH4'!T31/1000000</f>
        <v>7.1009401626872783</v>
      </c>
      <c r="M25" s="1234"/>
      <c r="N25" s="1257"/>
      <c r="O25" s="1238" t="s">
        <v>1609</v>
      </c>
      <c r="P25" s="1224" t="s">
        <v>1594</v>
      </c>
      <c r="Q25" s="1225" t="s">
        <v>2213</v>
      </c>
      <c r="R25" s="1225" t="s">
        <v>2213</v>
      </c>
      <c r="S25" s="1225" t="s">
        <v>2213</v>
      </c>
      <c r="T25" s="1225" t="s">
        <v>2213</v>
      </c>
      <c r="U25" s="1225" t="s">
        <v>2213</v>
      </c>
      <c r="V25" s="1225" t="s">
        <v>2213</v>
      </c>
      <c r="W25" s="1225" t="s">
        <v>2213</v>
      </c>
      <c r="X25" s="1225" t="s">
        <v>2213</v>
      </c>
      <c r="Y25" s="1225" t="s">
        <v>2213</v>
      </c>
      <c r="Z25" s="1225" t="s">
        <v>2213</v>
      </c>
      <c r="AA25" s="1225" t="s">
        <v>2213</v>
      </c>
      <c r="AB25" s="1225" t="s">
        <v>2213</v>
      </c>
    </row>
    <row r="26" spans="2:28" s="1044" customFormat="1" ht="18" customHeight="1" thickBot="1">
      <c r="B26" s="1271" t="s">
        <v>1617</v>
      </c>
      <c r="C26" s="1325">
        <f>C25</f>
        <v>1682.6620402921853</v>
      </c>
      <c r="D26" s="1101"/>
      <c r="E26" s="1101"/>
      <c r="F26" s="1101"/>
      <c r="G26" s="1101"/>
      <c r="H26" s="1101"/>
      <c r="I26" s="1102"/>
      <c r="J26" s="1987">
        <f>K26/C26</f>
        <v>4.2200632050000001E-3</v>
      </c>
      <c r="K26" s="1984">
        <f>K25</f>
        <v>7.1009401626872783</v>
      </c>
      <c r="M26" s="1234"/>
      <c r="N26" s="1257"/>
      <c r="O26" s="1244"/>
      <c r="P26" s="1230" t="s">
        <v>1595</v>
      </c>
      <c r="Q26" s="1225" t="s">
        <v>2213</v>
      </c>
      <c r="R26" s="1225" t="s">
        <v>2213</v>
      </c>
      <c r="S26" s="1225" t="s">
        <v>2213</v>
      </c>
      <c r="T26" s="1225" t="s">
        <v>2213</v>
      </c>
      <c r="U26" s="1225" t="s">
        <v>2213</v>
      </c>
      <c r="V26" s="1225" t="s">
        <v>2213</v>
      </c>
      <c r="W26" s="1225" t="s">
        <v>2213</v>
      </c>
      <c r="X26" s="1225" t="s">
        <v>2213</v>
      </c>
      <c r="Y26" s="1225" t="s">
        <v>2213</v>
      </c>
      <c r="Z26" s="1225" t="s">
        <v>2213</v>
      </c>
      <c r="AA26" s="1225" t="s">
        <v>2213</v>
      </c>
      <c r="AB26" s="1225" t="s">
        <v>2213</v>
      </c>
    </row>
    <row r="27" spans="2:28" s="1044" customFormat="1" ht="18" customHeight="1" thickBot="1">
      <c r="B27" s="1259"/>
      <c r="C27" s="1326"/>
      <c r="D27" s="1273"/>
      <c r="E27" s="1274"/>
      <c r="F27" s="1274"/>
      <c r="G27" s="1275"/>
      <c r="H27" s="1273"/>
      <c r="I27" s="1276"/>
      <c r="J27" s="1989"/>
      <c r="K27" s="1233"/>
      <c r="M27" s="1265"/>
      <c r="N27" s="1266"/>
      <c r="O27" s="1247"/>
      <c r="P27" s="1230" t="s">
        <v>1596</v>
      </c>
      <c r="Q27" s="1225" t="s">
        <v>2213</v>
      </c>
      <c r="R27" s="1225" t="s">
        <v>2213</v>
      </c>
      <c r="S27" s="1225" t="s">
        <v>2213</v>
      </c>
      <c r="T27" s="1225" t="s">
        <v>2213</v>
      </c>
      <c r="U27" s="1225" t="s">
        <v>2213</v>
      </c>
      <c r="V27" s="1225" t="s">
        <v>2213</v>
      </c>
      <c r="W27" s="1225" t="s">
        <v>2213</v>
      </c>
      <c r="X27" s="1225" t="s">
        <v>2213</v>
      </c>
      <c r="Y27" s="1225" t="s">
        <v>2213</v>
      </c>
      <c r="Z27" s="1225" t="s">
        <v>2213</v>
      </c>
      <c r="AA27" s="1225" t="s">
        <v>2213</v>
      </c>
      <c r="AB27" s="1225" t="s">
        <v>2213</v>
      </c>
    </row>
    <row r="28" spans="2:28" s="1044" customFormat="1" ht="18" customHeight="1" thickBot="1">
      <c r="B28" s="1267" t="s">
        <v>1618</v>
      </c>
      <c r="C28" s="1325">
        <f>SUM(C30:C36)</f>
        <v>44438.669688959046</v>
      </c>
      <c r="D28" s="1101"/>
      <c r="E28" s="1101"/>
      <c r="F28" s="1101"/>
      <c r="G28" s="1101"/>
      <c r="H28" s="1101"/>
      <c r="I28" s="1102"/>
      <c r="J28" s="1987">
        <f>K28/C28</f>
        <v>2.1641051273982135E-5</v>
      </c>
      <c r="K28" s="1330">
        <f>SUM(K30:K36)</f>
        <v>0.96169952928631841</v>
      </c>
      <c r="M28" s="1277" t="s">
        <v>1619</v>
      </c>
      <c r="N28" s="1278"/>
      <c r="O28" s="1223" t="s">
        <v>1607</v>
      </c>
      <c r="P28" s="1224" t="s">
        <v>1594</v>
      </c>
      <c r="Q28" s="1225" t="s">
        <v>2213</v>
      </c>
      <c r="R28" s="1225" t="s">
        <v>2213</v>
      </c>
      <c r="S28" s="1225" t="s">
        <v>2213</v>
      </c>
      <c r="T28" s="1225" t="s">
        <v>2213</v>
      </c>
      <c r="U28" s="1225" t="s">
        <v>2213</v>
      </c>
      <c r="V28" s="1225" t="s">
        <v>2213</v>
      </c>
      <c r="W28" s="1225" t="s">
        <v>2213</v>
      </c>
      <c r="X28" s="1225" t="s">
        <v>2213</v>
      </c>
      <c r="Y28" s="1225" t="s">
        <v>2213</v>
      </c>
      <c r="Z28" s="1225" t="s">
        <v>2213</v>
      </c>
      <c r="AA28" s="1225" t="s">
        <v>2213</v>
      </c>
      <c r="AB28" s="1225" t="s">
        <v>2213</v>
      </c>
    </row>
    <row r="29" spans="2:28" s="1044" customFormat="1" ht="18" customHeight="1" thickBot="1">
      <c r="B29" s="1279" t="s">
        <v>1547</v>
      </c>
      <c r="C29" s="1327"/>
      <c r="D29" s="1121"/>
      <c r="E29" s="1121"/>
      <c r="F29" s="1121"/>
      <c r="G29" s="1121"/>
      <c r="H29" s="1121"/>
      <c r="I29" s="1121"/>
      <c r="J29" s="1992"/>
      <c r="K29" s="1122"/>
      <c r="M29" s="1281"/>
      <c r="N29" s="1282"/>
      <c r="O29" s="1229" t="s">
        <v>1598</v>
      </c>
      <c r="P29" s="1230" t="s">
        <v>1595</v>
      </c>
      <c r="Q29" s="1225" t="s">
        <v>2213</v>
      </c>
      <c r="R29" s="1225" t="s">
        <v>2213</v>
      </c>
      <c r="S29" s="1225" t="s">
        <v>2213</v>
      </c>
      <c r="T29" s="1225" t="s">
        <v>2213</v>
      </c>
      <c r="U29" s="1225" t="s">
        <v>2213</v>
      </c>
      <c r="V29" s="1225" t="s">
        <v>2213</v>
      </c>
      <c r="W29" s="1225" t="s">
        <v>2213</v>
      </c>
      <c r="X29" s="1225" t="s">
        <v>2213</v>
      </c>
      <c r="Y29" s="1225" t="s">
        <v>2213</v>
      </c>
      <c r="Z29" s="1225" t="s">
        <v>2213</v>
      </c>
      <c r="AA29" s="1225" t="s">
        <v>2213</v>
      </c>
      <c r="AB29" s="1225" t="s">
        <v>2213</v>
      </c>
    </row>
    <row r="30" spans="2:28" s="1044" customFormat="1" ht="18" customHeight="1" thickBot="1">
      <c r="B30" s="1271" t="s">
        <v>1620</v>
      </c>
      <c r="C30" s="1328">
        <f>Table3.A!C30</f>
        <v>3.839</v>
      </c>
      <c r="D30" s="1274" t="s">
        <v>2211</v>
      </c>
      <c r="E30" s="1274" t="s">
        <v>2211</v>
      </c>
      <c r="F30" s="1274" t="s">
        <v>2211</v>
      </c>
      <c r="G30" s="1328">
        <f>'3B Manejo de Estiércol CH4'!F25</f>
        <v>315</v>
      </c>
      <c r="H30" s="1329">
        <f>'3B Manejo de Estiércol CH4'!E25</f>
        <v>11.2</v>
      </c>
      <c r="I30" s="1283" t="s">
        <v>2211</v>
      </c>
      <c r="J30" s="1987">
        <f>K30/C30</f>
        <v>9.413233199999999E-4</v>
      </c>
      <c r="K30" s="1331">
        <f>'3B Manejo de Estiércol CH4'!T25/1000000</f>
        <v>3.6137402254799995E-3</v>
      </c>
      <c r="M30" s="1281"/>
      <c r="N30" s="1282"/>
      <c r="O30" s="1236"/>
      <c r="P30" s="1230" t="s">
        <v>1596</v>
      </c>
      <c r="Q30" s="1225" t="s">
        <v>2213</v>
      </c>
      <c r="R30" s="1225" t="s">
        <v>2213</v>
      </c>
      <c r="S30" s="1225" t="s">
        <v>2213</v>
      </c>
      <c r="T30" s="1225" t="s">
        <v>2213</v>
      </c>
      <c r="U30" s="1225" t="s">
        <v>2213</v>
      </c>
      <c r="V30" s="1225" t="s">
        <v>2213</v>
      </c>
      <c r="W30" s="1225" t="s">
        <v>2213</v>
      </c>
      <c r="X30" s="1225" t="s">
        <v>2213</v>
      </c>
      <c r="Y30" s="1225" t="s">
        <v>2213</v>
      </c>
      <c r="Z30" s="1225" t="s">
        <v>2213</v>
      </c>
      <c r="AA30" s="1225" t="s">
        <v>2213</v>
      </c>
      <c r="AB30" s="1225" t="s">
        <v>2213</v>
      </c>
    </row>
    <row r="31" spans="2:28" s="1044" customFormat="1" ht="18" customHeight="1" thickBot="1">
      <c r="B31" s="1271" t="s">
        <v>1621</v>
      </c>
      <c r="C31" s="1328">
        <f>Table3.A!C31</f>
        <v>20.94978325706191</v>
      </c>
      <c r="D31" s="1274" t="s">
        <v>2211</v>
      </c>
      <c r="E31" s="1274" t="s">
        <v>2211</v>
      </c>
      <c r="F31" s="1274" t="s">
        <v>2211</v>
      </c>
      <c r="G31" s="1328">
        <f>'3B Manejo de Estiércol CH4'!F28</f>
        <v>65</v>
      </c>
      <c r="H31" s="1329">
        <f>'3B Manejo de Estiércol CH4'!E28</f>
        <v>8.3000000000000007</v>
      </c>
      <c r="I31" s="1283" t="s">
        <v>2211</v>
      </c>
      <c r="J31" s="1987">
        <f t="shared" ref="J31:J36" si="0">K31/C31</f>
        <v>1.6147235000000005E-4</v>
      </c>
      <c r="K31" s="1331">
        <f>'3B Manejo de Estiércol CH4'!T28/1000000</f>
        <v>3.3828107345084419E-3</v>
      </c>
      <c r="M31" s="1281"/>
      <c r="N31" s="1282"/>
      <c r="O31" s="1238" t="s">
        <v>1609</v>
      </c>
      <c r="P31" s="1224" t="s">
        <v>1594</v>
      </c>
      <c r="Q31" s="1225" t="s">
        <v>2213</v>
      </c>
      <c r="R31" s="1225" t="s">
        <v>2213</v>
      </c>
      <c r="S31" s="1225" t="s">
        <v>2213</v>
      </c>
      <c r="T31" s="1225" t="s">
        <v>2213</v>
      </c>
      <c r="U31" s="1225" t="s">
        <v>2213</v>
      </c>
      <c r="V31" s="1225" t="s">
        <v>2213</v>
      </c>
      <c r="W31" s="1225" t="s">
        <v>2213</v>
      </c>
      <c r="X31" s="1225" t="s">
        <v>2213</v>
      </c>
      <c r="Y31" s="1225" t="s">
        <v>2213</v>
      </c>
      <c r="Z31" s="1225" t="s">
        <v>2213</v>
      </c>
      <c r="AA31" s="1225" t="s">
        <v>2213</v>
      </c>
      <c r="AB31" s="1225" t="s">
        <v>2213</v>
      </c>
    </row>
    <row r="32" spans="2:28" s="1044" customFormat="1" ht="18" customHeight="1" thickBot="1">
      <c r="B32" s="1271" t="s">
        <v>1622</v>
      </c>
      <c r="C32" s="1328" t="s">
        <v>2212</v>
      </c>
      <c r="D32" s="1328" t="s">
        <v>2212</v>
      </c>
      <c r="E32" s="1328" t="s">
        <v>2212</v>
      </c>
      <c r="F32" s="1328" t="s">
        <v>2212</v>
      </c>
      <c r="G32" s="1328" t="s">
        <v>2212</v>
      </c>
      <c r="H32" s="1328" t="s">
        <v>2212</v>
      </c>
      <c r="I32" s="1283" t="s">
        <v>41</v>
      </c>
      <c r="J32" s="1987" t="s">
        <v>41</v>
      </c>
      <c r="K32" s="1331" t="s">
        <v>2212</v>
      </c>
      <c r="M32" s="1281"/>
      <c r="N32" s="1282"/>
      <c r="O32" s="1244"/>
      <c r="P32" s="1230" t="s">
        <v>1595</v>
      </c>
      <c r="Q32" s="1225" t="s">
        <v>2213</v>
      </c>
      <c r="R32" s="1225" t="s">
        <v>2213</v>
      </c>
      <c r="S32" s="1225" t="s">
        <v>2213</v>
      </c>
      <c r="T32" s="1225" t="s">
        <v>2213</v>
      </c>
      <c r="U32" s="1225" t="s">
        <v>2213</v>
      </c>
      <c r="V32" s="1225" t="s">
        <v>2213</v>
      </c>
      <c r="W32" s="1225" t="s">
        <v>2213</v>
      </c>
      <c r="X32" s="1225" t="s">
        <v>2213</v>
      </c>
      <c r="Y32" s="1225" t="s">
        <v>2213</v>
      </c>
      <c r="Z32" s="1225" t="s">
        <v>2213</v>
      </c>
      <c r="AA32" s="1225" t="s">
        <v>2213</v>
      </c>
      <c r="AB32" s="1225" t="s">
        <v>2213</v>
      </c>
    </row>
    <row r="33" spans="2:28" s="1044" customFormat="1" ht="18" customHeight="1" thickBot="1">
      <c r="B33" s="1271" t="s">
        <v>1623</v>
      </c>
      <c r="C33" s="1328">
        <f>Table3.A!C33</f>
        <v>21.745306881266913</v>
      </c>
      <c r="D33" s="1274" t="s">
        <v>2211</v>
      </c>
      <c r="E33" s="1274" t="s">
        <v>2211</v>
      </c>
      <c r="F33" s="1274" t="s">
        <v>2211</v>
      </c>
      <c r="G33" s="1328">
        <f>'3B Manejo de Estiércol CH4'!F27</f>
        <v>24</v>
      </c>
      <c r="H33" s="1329">
        <f>'3B Manejo de Estiércol CH4'!E27</f>
        <v>10.4</v>
      </c>
      <c r="I33" s="1283" t="s">
        <v>2211</v>
      </c>
      <c r="J33" s="1987">
        <f t="shared" si="0"/>
        <v>7.4705280000000003E-5</v>
      </c>
      <c r="K33" s="1331">
        <f>'3B Manejo de Estiércol CH4'!T27/1000000</f>
        <v>1.6244892392509715E-3</v>
      </c>
      <c r="M33" s="1284"/>
      <c r="N33" s="1285"/>
      <c r="O33" s="1247"/>
      <c r="P33" s="1230" t="s">
        <v>1596</v>
      </c>
      <c r="Q33" s="1225" t="s">
        <v>2213</v>
      </c>
      <c r="R33" s="1225" t="s">
        <v>2213</v>
      </c>
      <c r="S33" s="1225" t="s">
        <v>2213</v>
      </c>
      <c r="T33" s="1225" t="s">
        <v>2213</v>
      </c>
      <c r="U33" s="1225" t="s">
        <v>2213</v>
      </c>
      <c r="V33" s="1225" t="s">
        <v>2213</v>
      </c>
      <c r="W33" s="1225" t="s">
        <v>2213</v>
      </c>
      <c r="X33" s="1225" t="s">
        <v>2213</v>
      </c>
      <c r="Y33" s="1225" t="s">
        <v>2213</v>
      </c>
      <c r="Z33" s="1225" t="s">
        <v>2213</v>
      </c>
      <c r="AA33" s="1225" t="s">
        <v>2213</v>
      </c>
      <c r="AB33" s="1225" t="s">
        <v>2213</v>
      </c>
    </row>
    <row r="34" spans="2:28" s="1044" customFormat="1" ht="18" customHeight="1" thickBot="1">
      <c r="B34" s="1271" t="s">
        <v>1624</v>
      </c>
      <c r="C34" s="1328">
        <f>Table3.A!C34</f>
        <v>260.47901686208553</v>
      </c>
      <c r="D34" s="1274" t="s">
        <v>2211</v>
      </c>
      <c r="E34" s="1274" t="s">
        <v>2211</v>
      </c>
      <c r="F34" s="1274" t="s">
        <v>2211</v>
      </c>
      <c r="G34" s="1328">
        <f>Table3.A!G34</f>
        <v>4.6886223035175387</v>
      </c>
      <c r="H34" s="1329">
        <f>'3B Manejo de Estiércol CH4'!E29</f>
        <v>7.2</v>
      </c>
      <c r="I34" s="1283" t="s">
        <v>2211</v>
      </c>
      <c r="J34" s="1987">
        <f t="shared" si="0"/>
        <v>1.1758723200000001E-3</v>
      </c>
      <c r="K34" s="1331">
        <f>'3B Manejo de Estiércol CH4'!T29/1000000</f>
        <v>0.30629006586893964</v>
      </c>
      <c r="M34" s="1286" t="s">
        <v>1625</v>
      </c>
      <c r="N34" s="1287"/>
      <c r="O34" s="1223" t="s">
        <v>1607</v>
      </c>
      <c r="P34" s="1224" t="s">
        <v>1594</v>
      </c>
      <c r="Q34" s="1225" t="s">
        <v>2213</v>
      </c>
      <c r="R34" s="1225" t="s">
        <v>2213</v>
      </c>
      <c r="S34" s="1225" t="s">
        <v>2213</v>
      </c>
      <c r="T34" s="1225" t="s">
        <v>2213</v>
      </c>
      <c r="U34" s="1225" t="s">
        <v>2213</v>
      </c>
      <c r="V34" s="1225" t="s">
        <v>2213</v>
      </c>
      <c r="W34" s="1225" t="s">
        <v>2213</v>
      </c>
      <c r="X34" s="1225" t="s">
        <v>2213</v>
      </c>
      <c r="Y34" s="1225" t="s">
        <v>2213</v>
      </c>
      <c r="Z34" s="1225" t="s">
        <v>2213</v>
      </c>
      <c r="AA34" s="1225" t="s">
        <v>2213</v>
      </c>
      <c r="AB34" s="1225" t="s">
        <v>2213</v>
      </c>
    </row>
    <row r="35" spans="2:28" s="1044" customFormat="1" ht="18" customHeight="1" thickBot="1">
      <c r="B35" s="1271" t="s">
        <v>1626</v>
      </c>
      <c r="C35" s="1328">
        <f>Table3.A!C35</f>
        <v>147.16866440364331</v>
      </c>
      <c r="D35" s="1274" t="s">
        <v>2211</v>
      </c>
      <c r="E35" s="1274" t="s">
        <v>2211</v>
      </c>
      <c r="F35" s="1274" t="s">
        <v>2211</v>
      </c>
      <c r="G35" s="1328">
        <f>'3B Manejo de Estiércol CH4'!F30</f>
        <v>130</v>
      </c>
      <c r="H35" s="1329">
        <f>'3B Manejo de Estiércol CH4'!E30</f>
        <v>7.2</v>
      </c>
      <c r="I35" s="1283" t="s">
        <v>2211</v>
      </c>
      <c r="J35" s="1987">
        <f t="shared" si="0"/>
        <v>6.4228320000000018E-4</v>
      </c>
      <c r="K35" s="1331">
        <f>'3B Manejo de Estiércol CH4'!T30/1000000</f>
        <v>9.4523960712898147E-2</v>
      </c>
      <c r="M35" s="1288" t="s">
        <v>1627</v>
      </c>
      <c r="N35" s="1289"/>
      <c r="O35" s="1229" t="s">
        <v>1598</v>
      </c>
      <c r="P35" s="1230" t="s">
        <v>1595</v>
      </c>
      <c r="Q35" s="1225" t="s">
        <v>2213</v>
      </c>
      <c r="R35" s="1225" t="s">
        <v>2213</v>
      </c>
      <c r="S35" s="1225" t="s">
        <v>2213</v>
      </c>
      <c r="T35" s="1225" t="s">
        <v>2213</v>
      </c>
      <c r="U35" s="1225" t="s">
        <v>2213</v>
      </c>
      <c r="V35" s="1225" t="s">
        <v>2213</v>
      </c>
      <c r="W35" s="1225" t="s">
        <v>2213</v>
      </c>
      <c r="X35" s="1225" t="s">
        <v>2213</v>
      </c>
      <c r="Y35" s="1225" t="s">
        <v>2213</v>
      </c>
      <c r="Z35" s="1225" t="s">
        <v>2213</v>
      </c>
      <c r="AA35" s="1225" t="s">
        <v>2213</v>
      </c>
      <c r="AB35" s="1225" t="s">
        <v>2213</v>
      </c>
    </row>
    <row r="36" spans="2:28" s="1044" customFormat="1" ht="18" customHeight="1" thickBot="1">
      <c r="B36" s="1271" t="s">
        <v>1628</v>
      </c>
      <c r="C36" s="1328">
        <f>Table3.A!C36</f>
        <v>43984.487917554987</v>
      </c>
      <c r="D36" s="1274" t="s">
        <v>2211</v>
      </c>
      <c r="E36" s="1274" t="s">
        <v>2211</v>
      </c>
      <c r="F36" s="1274" t="s">
        <v>2211</v>
      </c>
      <c r="G36" s="1328">
        <f>AVERAGE('3B Manejo de Estiércol CH4'!F32:F35)</f>
        <v>2.95</v>
      </c>
      <c r="H36" s="1329">
        <f>AVERAGE('3B Manejo de Estiércol CH4'!E32:E35)</f>
        <v>10.850000000000001</v>
      </c>
      <c r="I36" s="1283" t="s">
        <v>2211</v>
      </c>
      <c r="J36" s="1987">
        <f t="shared" si="0"/>
        <v>1.2555891602976301E-5</v>
      </c>
      <c r="K36" s="1331">
        <f>SUM('3B Manejo de Estiércol CH4'!T32:T35)/1000000</f>
        <v>0.55226446250524119</v>
      </c>
      <c r="M36" s="1182"/>
      <c r="N36" s="1183"/>
      <c r="O36" s="1236"/>
      <c r="P36" s="1230" t="s">
        <v>1596</v>
      </c>
      <c r="Q36" s="1225" t="s">
        <v>2213</v>
      </c>
      <c r="R36" s="1225" t="s">
        <v>2213</v>
      </c>
      <c r="S36" s="1225" t="s">
        <v>2213</v>
      </c>
      <c r="T36" s="1225" t="s">
        <v>2213</v>
      </c>
      <c r="U36" s="1225" t="s">
        <v>2213</v>
      </c>
      <c r="V36" s="1225" t="s">
        <v>2213</v>
      </c>
      <c r="W36" s="1225" t="s">
        <v>2213</v>
      </c>
      <c r="X36" s="1225" t="s">
        <v>2213</v>
      </c>
      <c r="Y36" s="1225" t="s">
        <v>2213</v>
      </c>
      <c r="Z36" s="1225" t="s">
        <v>2213</v>
      </c>
      <c r="AA36" s="1225" t="s">
        <v>2213</v>
      </c>
      <c r="AB36" s="1225" t="s">
        <v>2213</v>
      </c>
    </row>
    <row r="37" spans="2:28" s="1044" customFormat="1" ht="18" customHeight="1" thickBot="1">
      <c r="B37" s="1271" t="s">
        <v>1629</v>
      </c>
      <c r="C37" s="1245" t="s">
        <v>41</v>
      </c>
      <c r="D37" s="1251"/>
      <c r="E37" s="1251"/>
      <c r="F37" s="1251"/>
      <c r="G37" s="1251"/>
      <c r="H37" s="1251"/>
      <c r="I37" s="1252"/>
      <c r="J37" s="1232" t="s">
        <v>41</v>
      </c>
      <c r="K37" s="1221" t="s">
        <v>2212</v>
      </c>
      <c r="M37" s="1182"/>
      <c r="N37" s="1183"/>
      <c r="O37" s="1238" t="s">
        <v>1609</v>
      </c>
      <c r="P37" s="1224" t="s">
        <v>1594</v>
      </c>
      <c r="Q37" s="1225" t="s">
        <v>2213</v>
      </c>
      <c r="R37" s="1225" t="s">
        <v>2213</v>
      </c>
      <c r="S37" s="1225" t="s">
        <v>2213</v>
      </c>
      <c r="T37" s="1225" t="s">
        <v>2213</v>
      </c>
      <c r="U37" s="1225" t="s">
        <v>2213</v>
      </c>
      <c r="V37" s="1225" t="s">
        <v>2213</v>
      </c>
      <c r="W37" s="1225" t="s">
        <v>2213</v>
      </c>
      <c r="X37" s="1225" t="s">
        <v>2213</v>
      </c>
      <c r="Y37" s="1225" t="s">
        <v>2213</v>
      </c>
      <c r="Z37" s="1225" t="s">
        <v>2213</v>
      </c>
      <c r="AA37" s="1225" t="s">
        <v>2213</v>
      </c>
      <c r="AB37" s="1225" t="s">
        <v>2213</v>
      </c>
    </row>
    <row r="38" spans="2:28" s="1044" customFormat="1" ht="18" customHeight="1" thickBot="1">
      <c r="B38" s="1290" t="s">
        <v>1547</v>
      </c>
      <c r="C38" s="1280"/>
      <c r="D38" s="1121"/>
      <c r="E38" s="1121"/>
      <c r="F38" s="1121"/>
      <c r="G38" s="1121"/>
      <c r="H38" s="1121"/>
      <c r="I38" s="1121"/>
      <c r="J38" s="1121"/>
      <c r="K38" s="1122"/>
      <c r="M38" s="1182"/>
      <c r="N38" s="1183"/>
      <c r="O38" s="1244"/>
      <c r="P38" s="1230" t="s">
        <v>1595</v>
      </c>
      <c r="Q38" s="1225" t="s">
        <v>2213</v>
      </c>
      <c r="R38" s="1225" t="s">
        <v>2213</v>
      </c>
      <c r="S38" s="1225" t="s">
        <v>2213</v>
      </c>
      <c r="T38" s="1225" t="s">
        <v>2213</v>
      </c>
      <c r="U38" s="1225" t="s">
        <v>2213</v>
      </c>
      <c r="V38" s="1225" t="s">
        <v>2213</v>
      </c>
      <c r="W38" s="1225" t="s">
        <v>2213</v>
      </c>
      <c r="X38" s="1225" t="s">
        <v>2213</v>
      </c>
      <c r="Y38" s="1225" t="s">
        <v>2213</v>
      </c>
      <c r="Z38" s="1225" t="s">
        <v>2213</v>
      </c>
      <c r="AA38" s="1225" t="s">
        <v>2213</v>
      </c>
      <c r="AB38" s="1225" t="s">
        <v>2213</v>
      </c>
    </row>
    <row r="39" spans="2:28" s="1044" customFormat="1" ht="18" customHeight="1" thickBot="1">
      <c r="B39" s="1291" t="s">
        <v>1630</v>
      </c>
      <c r="C39" s="1274" t="str">
        <f>Table3.A!C39</f>
        <v>NE</v>
      </c>
      <c r="D39" s="1274" t="str">
        <f>Table3.A!D39</f>
        <v>NE</v>
      </c>
      <c r="E39" s="1274" t="str">
        <f>Table3.A!E39</f>
        <v>NE</v>
      </c>
      <c r="F39" s="1274" t="str">
        <f>Table3.A!F39</f>
        <v>NA</v>
      </c>
      <c r="G39" s="1274" t="str">
        <f>Table3.A!G39</f>
        <v>NE</v>
      </c>
      <c r="H39" s="1274" t="str">
        <f>G39</f>
        <v>NE</v>
      </c>
      <c r="I39" s="1274" t="str">
        <f>H39</f>
        <v>NE</v>
      </c>
      <c r="J39" s="1985" t="s">
        <v>41</v>
      </c>
      <c r="K39" s="1986" t="s">
        <v>2211</v>
      </c>
      <c r="M39" s="1292"/>
      <c r="N39" s="1293"/>
      <c r="O39" s="1247"/>
      <c r="P39" s="1294" t="s">
        <v>1596</v>
      </c>
      <c r="Q39" s="1225" t="s">
        <v>2213</v>
      </c>
      <c r="R39" s="1225" t="s">
        <v>2213</v>
      </c>
      <c r="S39" s="1225" t="s">
        <v>2213</v>
      </c>
      <c r="T39" s="1225" t="s">
        <v>2213</v>
      </c>
      <c r="U39" s="1225" t="s">
        <v>2213</v>
      </c>
      <c r="V39" s="1225" t="s">
        <v>2213</v>
      </c>
      <c r="W39" s="1225" t="s">
        <v>2213</v>
      </c>
      <c r="X39" s="1225" t="s">
        <v>2213</v>
      </c>
      <c r="Y39" s="1225" t="s">
        <v>2213</v>
      </c>
      <c r="Z39" s="1225" t="s">
        <v>2213</v>
      </c>
      <c r="AA39" s="1225" t="s">
        <v>2213</v>
      </c>
      <c r="AB39" s="1225" t="s">
        <v>2213</v>
      </c>
    </row>
    <row r="40" spans="2:28" s="1044" customFormat="1" ht="18" customHeight="1">
      <c r="B40" s="1291" t="s">
        <v>1631</v>
      </c>
      <c r="C40" s="1274" t="s">
        <v>2212</v>
      </c>
      <c r="D40" s="1274" t="str">
        <f>Table3.A!D40</f>
        <v>NA</v>
      </c>
      <c r="E40" s="1274" t="str">
        <f>Table3.A!E40</f>
        <v>NA</v>
      </c>
      <c r="F40" s="1274" t="str">
        <f>Table3.A!F40</f>
        <v>NA</v>
      </c>
      <c r="G40" s="1274" t="str">
        <f>Table3.A!G40</f>
        <v>NA</v>
      </c>
      <c r="H40" s="1274" t="str">
        <f t="shared" ref="H40:I42" si="1">G40</f>
        <v>NA</v>
      </c>
      <c r="I40" s="1274" t="str">
        <f t="shared" si="1"/>
        <v>NA</v>
      </c>
      <c r="J40" s="1985" t="s">
        <v>41</v>
      </c>
      <c r="K40" s="1986" t="s">
        <v>2212</v>
      </c>
      <c r="M40" s="1295"/>
      <c r="N40" s="1296"/>
      <c r="O40" s="1296"/>
      <c r="P40" s="1296"/>
      <c r="Q40" s="1296"/>
      <c r="R40" s="1296"/>
      <c r="S40" s="1296"/>
      <c r="T40" s="1296"/>
      <c r="U40" s="1296"/>
      <c r="V40" s="1296"/>
      <c r="W40" s="1296"/>
      <c r="X40" s="1296"/>
      <c r="Y40" s="1296"/>
      <c r="Z40" s="1296"/>
      <c r="AA40" s="1296"/>
      <c r="AB40" s="1296"/>
    </row>
    <row r="41" spans="2:28" s="1044" customFormat="1" ht="18" customHeight="1">
      <c r="B41" s="1291" t="s">
        <v>1632</v>
      </c>
      <c r="C41" s="1274" t="str">
        <f>Table3.A!C41</f>
        <v>NE</v>
      </c>
      <c r="D41" s="1274" t="str">
        <f>Table3.A!D41</f>
        <v>NE</v>
      </c>
      <c r="E41" s="1274" t="str">
        <f>Table3.A!E41</f>
        <v>NE</v>
      </c>
      <c r="F41" s="1274" t="str">
        <f>Table3.A!F41</f>
        <v>NA</v>
      </c>
      <c r="G41" s="1274" t="str">
        <f>Table3.A!G41</f>
        <v>NE</v>
      </c>
      <c r="H41" s="1274" t="str">
        <f t="shared" si="1"/>
        <v>NE</v>
      </c>
      <c r="I41" s="1274" t="str">
        <f t="shared" si="1"/>
        <v>NE</v>
      </c>
      <c r="J41" s="1985" t="s">
        <v>41</v>
      </c>
      <c r="K41" s="1986" t="s">
        <v>2211</v>
      </c>
      <c r="M41" s="1297"/>
      <c r="N41" s="1297"/>
      <c r="O41" s="1297"/>
      <c r="P41" s="1297"/>
      <c r="Q41" s="1297"/>
      <c r="R41" s="1297"/>
      <c r="S41" s="1297"/>
      <c r="T41" s="1297"/>
      <c r="U41" s="1297"/>
      <c r="V41" s="1297"/>
      <c r="W41" s="1297"/>
      <c r="X41" s="1297"/>
      <c r="Y41" s="1297"/>
      <c r="Z41" s="1297"/>
      <c r="AA41" s="1297"/>
      <c r="AB41" s="1297"/>
    </row>
    <row r="42" spans="2:28" s="1044" customFormat="1" ht="18" customHeight="1">
      <c r="B42" s="1291" t="s">
        <v>1633</v>
      </c>
      <c r="C42" s="1274" t="str">
        <f>Table3.A!C42</f>
        <v>NE</v>
      </c>
      <c r="D42" s="1274" t="str">
        <f>Table3.A!D42</f>
        <v>NE</v>
      </c>
      <c r="E42" s="1274" t="str">
        <f>Table3.A!E42</f>
        <v>NE</v>
      </c>
      <c r="F42" s="1274" t="str">
        <f>Table3.A!F42</f>
        <v>NA</v>
      </c>
      <c r="G42" s="1274" t="str">
        <f>Table3.A!G42</f>
        <v>NE</v>
      </c>
      <c r="H42" s="1274" t="str">
        <f t="shared" si="1"/>
        <v>NE</v>
      </c>
      <c r="I42" s="1274" t="str">
        <f t="shared" si="1"/>
        <v>NE</v>
      </c>
      <c r="J42" s="1985" t="s">
        <v>41</v>
      </c>
      <c r="K42" s="1986" t="s">
        <v>2211</v>
      </c>
      <c r="M42" s="1297"/>
      <c r="N42" s="1297"/>
      <c r="O42" s="1297"/>
      <c r="P42" s="1297"/>
      <c r="Q42" s="1297"/>
      <c r="R42" s="1297"/>
      <c r="S42" s="1297"/>
      <c r="T42" s="1297"/>
      <c r="U42" s="1297"/>
      <c r="V42" s="1297"/>
      <c r="W42" s="1297"/>
      <c r="X42" s="1297"/>
      <c r="Y42" s="1297"/>
      <c r="Z42" s="1297"/>
      <c r="AA42" s="1297"/>
      <c r="AB42" s="1297"/>
    </row>
    <row r="43" spans="2:28" s="1044" customFormat="1" ht="18" customHeight="1">
      <c r="B43" s="1298" t="s">
        <v>1634</v>
      </c>
      <c r="C43" s="1245" t="s">
        <v>41</v>
      </c>
      <c r="D43" s="1251"/>
      <c r="E43" s="1251"/>
      <c r="F43" s="1251"/>
      <c r="G43" s="1251"/>
      <c r="H43" s="1251"/>
      <c r="I43" s="1252"/>
      <c r="J43" s="1985" t="s">
        <v>41</v>
      </c>
      <c r="K43" s="1996" t="s">
        <v>2212</v>
      </c>
      <c r="M43" s="1297"/>
      <c r="N43" s="1297"/>
      <c r="O43" s="1297"/>
      <c r="P43" s="1297"/>
      <c r="Q43" s="1297"/>
      <c r="R43" s="1297"/>
      <c r="S43" s="1297"/>
      <c r="T43" s="1297"/>
      <c r="U43" s="1297"/>
      <c r="V43" s="1297"/>
      <c r="W43" s="1297"/>
      <c r="X43" s="1297"/>
      <c r="Y43" s="1297"/>
      <c r="Z43" s="1297"/>
      <c r="AA43" s="1297"/>
      <c r="AB43" s="1297"/>
    </row>
    <row r="44" spans="2:28" s="1044" customFormat="1" ht="17.25" customHeight="1" thickBot="1">
      <c r="B44" s="1299"/>
      <c r="C44" s="1300"/>
      <c r="D44" s="1301"/>
      <c r="E44" s="1301"/>
      <c r="F44" s="1301"/>
      <c r="G44" s="1301"/>
      <c r="H44" s="1301"/>
      <c r="I44" s="1302"/>
      <c r="J44" s="1303"/>
      <c r="K44" s="1304"/>
      <c r="M44" s="1305"/>
      <c r="N44" s="1297"/>
      <c r="O44" s="1297"/>
      <c r="P44" s="1297"/>
      <c r="Q44" s="1297"/>
      <c r="R44" s="1297"/>
      <c r="S44" s="1297"/>
      <c r="T44" s="1297"/>
      <c r="U44" s="1297"/>
      <c r="V44" s="1297"/>
      <c r="W44" s="1297"/>
      <c r="X44" s="1297"/>
      <c r="Y44" s="1297"/>
      <c r="Z44" s="1297"/>
      <c r="AA44" s="1297"/>
      <c r="AB44" s="1297"/>
    </row>
    <row r="45" spans="2:28" s="1044" customFormat="1" ht="14">
      <c r="B45" s="1306" t="s">
        <v>1089</v>
      </c>
      <c r="C45" s="1306" t="s">
        <v>1089</v>
      </c>
      <c r="D45" s="1306"/>
      <c r="E45" s="1306"/>
      <c r="F45" s="1306"/>
      <c r="G45" s="1306"/>
      <c r="H45" s="1306"/>
      <c r="I45" s="1306"/>
      <c r="J45" s="1306"/>
      <c r="K45" s="1306"/>
      <c r="M45" s="1307"/>
      <c r="N45" s="1307"/>
      <c r="O45" s="1307"/>
      <c r="P45" s="1307"/>
      <c r="Q45" s="1307"/>
      <c r="R45" s="1307"/>
      <c r="S45" s="1307"/>
      <c r="T45" s="1307"/>
      <c r="U45" s="1307"/>
      <c r="V45" s="1307"/>
      <c r="W45" s="1307"/>
      <c r="X45" s="1307"/>
      <c r="Y45" s="1307"/>
      <c r="Z45" s="1307"/>
      <c r="AA45" s="1307"/>
      <c r="AB45" s="1307"/>
    </row>
    <row r="46" spans="2:28" s="1044" customFormat="1" ht="15.5">
      <c r="B46" s="1308"/>
      <c r="C46" s="1309"/>
      <c r="D46" s="1309"/>
      <c r="E46" s="1309"/>
      <c r="F46" s="1309"/>
      <c r="G46" s="1309"/>
      <c r="H46" s="1309"/>
      <c r="I46" s="1309"/>
      <c r="J46" s="1309"/>
      <c r="K46" s="1309"/>
      <c r="M46" s="1310"/>
      <c r="N46" s="1310"/>
      <c r="O46" s="1310"/>
      <c r="P46" s="1310"/>
      <c r="Q46" s="1310"/>
      <c r="R46" s="1310"/>
      <c r="S46" s="1310"/>
      <c r="T46" s="1310"/>
      <c r="U46" s="1310"/>
      <c r="V46" s="1310"/>
      <c r="W46" s="1310"/>
      <c r="X46" s="1310"/>
      <c r="Y46" s="1310"/>
      <c r="Z46" s="1310"/>
      <c r="AA46" s="1310"/>
      <c r="AB46" s="1310"/>
    </row>
    <row r="47" spans="2:28" s="1044" customFormat="1" ht="15.5">
      <c r="B47" s="1305"/>
      <c r="C47" s="1297"/>
      <c r="D47" s="1297"/>
      <c r="E47" s="1297"/>
      <c r="F47" s="1297"/>
      <c r="G47" s="1297"/>
      <c r="H47" s="1297"/>
      <c r="I47" s="1297"/>
      <c r="J47" s="1297"/>
      <c r="K47" s="1297"/>
      <c r="M47" s="1310"/>
      <c r="N47" s="1310"/>
      <c r="O47" s="1310"/>
      <c r="P47" s="1310"/>
      <c r="Q47" s="1310"/>
      <c r="R47" s="1310"/>
      <c r="S47" s="1310"/>
      <c r="T47" s="1310"/>
      <c r="U47" s="1310"/>
      <c r="V47" s="1310"/>
      <c r="W47" s="1310"/>
      <c r="X47" s="1310"/>
      <c r="Y47" s="1310"/>
      <c r="Z47" s="1310"/>
      <c r="AA47" s="1310"/>
      <c r="AB47" s="1310"/>
    </row>
    <row r="48" spans="2:28" s="1044" customFormat="1" ht="15.5">
      <c r="B48" s="1311"/>
      <c r="C48" s="1311"/>
      <c r="D48" s="1311"/>
      <c r="E48" s="1311"/>
      <c r="F48" s="1311"/>
      <c r="G48" s="1311"/>
      <c r="H48" s="1311"/>
      <c r="I48" s="1311"/>
      <c r="J48" s="1311"/>
      <c r="K48" s="1311"/>
      <c r="M48" s="1310"/>
      <c r="N48" s="1310"/>
      <c r="O48" s="1310"/>
      <c r="P48" s="1310"/>
      <c r="Q48" s="1310"/>
      <c r="R48" s="1310"/>
      <c r="S48" s="1310"/>
      <c r="T48" s="1310"/>
      <c r="U48" s="1310"/>
      <c r="V48" s="1310"/>
      <c r="W48" s="1310"/>
      <c r="X48" s="1310"/>
      <c r="Y48" s="1310"/>
      <c r="Z48" s="1310"/>
      <c r="AA48" s="1310"/>
      <c r="AB48" s="1310"/>
    </row>
    <row r="49" spans="2:28" s="1044" customFormat="1" ht="15.5">
      <c r="B49" s="1105"/>
      <c r="C49" s="1308"/>
      <c r="D49" s="1308"/>
      <c r="E49" s="1308"/>
      <c r="F49" s="1308"/>
      <c r="G49" s="1308"/>
      <c r="H49" s="1308"/>
      <c r="I49" s="1308"/>
      <c r="J49" s="1308"/>
      <c r="K49" s="1308"/>
      <c r="M49" s="1310"/>
      <c r="N49" s="1310"/>
      <c r="O49" s="1310"/>
      <c r="P49" s="1310"/>
      <c r="Q49" s="1310"/>
      <c r="R49" s="1310"/>
      <c r="S49" s="1310"/>
      <c r="T49" s="1310"/>
      <c r="U49" s="1310"/>
      <c r="V49" s="1310"/>
      <c r="W49" s="1310"/>
      <c r="X49" s="1310"/>
      <c r="Y49" s="1310"/>
      <c r="Z49" s="1310"/>
      <c r="AA49" s="1310"/>
      <c r="AB49" s="1310"/>
    </row>
    <row r="50" spans="2:28" s="1044" customFormat="1" ht="15.5">
      <c r="B50" s="1312"/>
      <c r="C50" s="1297"/>
      <c r="D50" s="1297"/>
      <c r="E50" s="1297"/>
      <c r="F50" s="1297"/>
      <c r="G50" s="1297"/>
      <c r="H50" s="1297"/>
      <c r="I50" s="1297"/>
      <c r="J50" s="1297"/>
      <c r="K50" s="1297"/>
      <c r="M50" s="1310"/>
      <c r="N50" s="1310"/>
      <c r="O50" s="1310"/>
      <c r="P50" s="929"/>
      <c r="Q50" s="929"/>
      <c r="R50" s="929"/>
      <c r="S50" s="929"/>
      <c r="T50" s="929"/>
      <c r="U50" s="929"/>
      <c r="V50" s="929"/>
      <c r="W50" s="929"/>
      <c r="X50" s="929"/>
      <c r="Y50" s="929"/>
      <c r="Z50" s="929"/>
      <c r="AA50" s="929"/>
      <c r="AB50" s="929"/>
    </row>
    <row r="51" spans="2:28" s="1044" customFormat="1" ht="15.5">
      <c r="B51" s="1312"/>
      <c r="C51" s="1297"/>
      <c r="D51" s="1297"/>
      <c r="E51" s="1297"/>
      <c r="F51" s="1297"/>
      <c r="G51" s="1297"/>
      <c r="H51" s="1297"/>
      <c r="I51" s="1297"/>
      <c r="J51" s="1297"/>
      <c r="K51" s="1297"/>
      <c r="M51" s="1310"/>
      <c r="N51" s="1310"/>
      <c r="O51" s="929"/>
      <c r="P51" s="929"/>
      <c r="Q51" s="929"/>
      <c r="R51" s="929"/>
      <c r="S51" s="929"/>
      <c r="T51" s="929"/>
      <c r="U51" s="929"/>
      <c r="V51" s="929"/>
      <c r="W51" s="929"/>
      <c r="X51" s="929"/>
      <c r="Y51" s="929"/>
      <c r="Z51" s="929"/>
      <c r="AA51" s="929"/>
      <c r="AB51" s="929"/>
    </row>
    <row r="52" spans="2:28" s="1044" customFormat="1" ht="15.5">
      <c r="B52" s="1312"/>
      <c r="C52" s="1297"/>
      <c r="D52" s="1297"/>
      <c r="E52" s="1297"/>
      <c r="F52" s="1297"/>
      <c r="G52" s="1297"/>
      <c r="H52" s="1297"/>
      <c r="I52" s="1297"/>
      <c r="J52" s="1297"/>
      <c r="K52" s="1297"/>
      <c r="M52" s="1310"/>
      <c r="N52" s="1310"/>
      <c r="O52" s="929"/>
      <c r="P52" s="929"/>
      <c r="Q52" s="929"/>
      <c r="R52" s="929"/>
      <c r="S52" s="929"/>
      <c r="T52" s="929"/>
      <c r="U52" s="929"/>
      <c r="V52" s="929"/>
      <c r="W52" s="929"/>
      <c r="X52" s="929"/>
      <c r="Y52" s="929"/>
      <c r="Z52" s="929"/>
      <c r="AA52" s="929"/>
      <c r="AB52" s="929"/>
    </row>
    <row r="53" spans="2:28" s="1044" customFormat="1" ht="14">
      <c r="B53" s="1312"/>
      <c r="C53" s="1297"/>
      <c r="D53" s="1297"/>
      <c r="E53" s="1297"/>
      <c r="F53" s="1297"/>
      <c r="G53" s="1297"/>
      <c r="H53" s="1297"/>
      <c r="I53" s="1297"/>
      <c r="J53" s="1297"/>
      <c r="K53" s="1297"/>
      <c r="M53" s="929"/>
      <c r="N53" s="929"/>
      <c r="O53" s="929"/>
      <c r="P53" s="929"/>
      <c r="Q53" s="929"/>
      <c r="R53" s="929"/>
      <c r="S53" s="929"/>
      <c r="T53" s="929"/>
      <c r="U53" s="929"/>
      <c r="V53" s="929"/>
      <c r="W53" s="929"/>
      <c r="X53" s="929"/>
      <c r="Y53" s="929"/>
      <c r="Z53" s="929"/>
      <c r="AA53" s="929"/>
      <c r="AB53" s="929"/>
    </row>
    <row r="54" spans="2:28" s="1044" customFormat="1" ht="14.5" thickBot="1">
      <c r="B54" s="1313"/>
      <c r="C54" s="1314"/>
      <c r="D54" s="1314"/>
      <c r="E54" s="1314"/>
      <c r="F54" s="1314"/>
      <c r="G54" s="1314"/>
      <c r="H54" s="1314"/>
      <c r="I54" s="1314"/>
      <c r="J54" s="1314"/>
      <c r="K54" s="1314"/>
      <c r="M54" s="929"/>
      <c r="N54" s="929"/>
      <c r="O54" s="929"/>
      <c r="P54" s="929"/>
      <c r="Q54" s="929"/>
      <c r="R54" s="929"/>
      <c r="S54" s="929"/>
      <c r="T54" s="929"/>
      <c r="U54" s="929"/>
      <c r="V54" s="929"/>
      <c r="W54" s="929"/>
      <c r="X54" s="929"/>
      <c r="Y54" s="929"/>
      <c r="Z54" s="929"/>
      <c r="AA54" s="929"/>
      <c r="AB54" s="929"/>
    </row>
    <row r="55" spans="2:28" s="1044" customFormat="1">
      <c r="B55" s="1315" t="s">
        <v>1516</v>
      </c>
      <c r="C55" s="1316"/>
      <c r="D55" s="1316"/>
      <c r="E55" s="1316"/>
      <c r="F55" s="1316"/>
      <c r="G55" s="1316"/>
      <c r="H55" s="1316"/>
      <c r="I55" s="1316"/>
      <c r="J55" s="1703"/>
      <c r="K55" s="1703"/>
      <c r="M55" s="929"/>
      <c r="N55" s="929"/>
      <c r="O55" s="929"/>
      <c r="P55" s="929"/>
      <c r="Q55" s="929"/>
      <c r="R55" s="929"/>
      <c r="S55" s="929"/>
      <c r="T55" s="929"/>
      <c r="U55" s="929"/>
      <c r="V55" s="929"/>
      <c r="W55" s="929"/>
      <c r="X55" s="929"/>
      <c r="Y55" s="929"/>
      <c r="Z55" s="929"/>
      <c r="AA55" s="929"/>
      <c r="AB55" s="929"/>
    </row>
    <row r="56" spans="2:28" ht="12" customHeight="1">
      <c r="B56" s="1061"/>
      <c r="C56" s="1061"/>
      <c r="D56" s="1061"/>
      <c r="E56" s="1061"/>
      <c r="F56" s="1061"/>
      <c r="G56" s="1061"/>
      <c r="H56" s="2054"/>
      <c r="I56" s="2055"/>
      <c r="J56" s="2055" t="s">
        <v>43</v>
      </c>
      <c r="K56" s="2055"/>
      <c r="L56" s="929" t="s">
        <v>43</v>
      </c>
    </row>
    <row r="57" spans="2:28" ht="12" customHeight="1">
      <c r="B57" s="1061" t="s">
        <v>1300</v>
      </c>
      <c r="C57" s="1061" t="s">
        <v>1284</v>
      </c>
      <c r="D57" s="1061" t="s">
        <v>306</v>
      </c>
      <c r="E57" s="1061" t="s">
        <v>1270</v>
      </c>
      <c r="F57" s="1061" t="s">
        <v>124</v>
      </c>
      <c r="G57" s="1061" t="s">
        <v>1298</v>
      </c>
      <c r="H57" s="2054" t="s">
        <v>1302</v>
      </c>
      <c r="I57" s="2055"/>
      <c r="J57" s="2055" t="s">
        <v>43</v>
      </c>
      <c r="K57" s="2055"/>
      <c r="L57" s="929" t="s">
        <v>43</v>
      </c>
    </row>
    <row r="58" spans="2:28" ht="12" customHeight="1">
      <c r="B58" s="2036" t="str">
        <f>'3B Manejo de Estiércol CH4'!B41</f>
        <v>Ganado Lechero</v>
      </c>
      <c r="C58" s="2036" t="str">
        <f>'3B Manejo de Estiércol CH4'!D41</f>
        <v>ESPAC 2018 , tabla 67</v>
      </c>
      <c r="D58" s="2036" t="str">
        <f>'3B Manejo de Estiércol CH4'!E41</f>
        <v>Dato de actividad desagregado por región, dato de existencias población adulta de mas de dos años</v>
      </c>
      <c r="E58" s="2036" t="str">
        <f>'3B Manejo de Estiércol CH4'!F41</f>
        <v>Se obtiene por defecto de la tabla 10.13 directrices IPCC V4, para ganado de la sierra se considera productividad media, en tanto para las otras regiones se considera productividad baja</v>
      </c>
      <c r="F58" s="2036" t="str">
        <f>'3B Manejo de Estiércol CH4'!G41</f>
        <v>Dato propio del país según registros de proyecto GCI por región</v>
      </c>
      <c r="G58" s="2036" t="str">
        <f>'3B Manejo de Estiércol CH4'!H41</f>
        <v>Valor propio del país según registros proyecto GCI por región, se promedian modos de producción</v>
      </c>
      <c r="H58" s="2056" t="str">
        <f>'3B Manejo de Estiércol CH4'!I41</f>
        <v>Factor de emisión por defecto tablas 10.14 y 10.15 directrices IPCC V4, en algunos casos se asemejan factores según similitud de sistemas de manejo y tipo de clima por región</v>
      </c>
      <c r="I58" s="2055"/>
      <c r="J58" s="2055"/>
      <c r="K58" s="2055"/>
      <c r="L58" s="929" t="s">
        <v>43</v>
      </c>
    </row>
    <row r="59" spans="2:28" ht="12" customHeight="1">
      <c r="B59" s="2036" t="str">
        <f>'3B Manejo de Estiércol CH4'!B42</f>
        <v>No LecheroToros</v>
      </c>
      <c r="C59" s="2036" t="str">
        <f>'3B Manejo de Estiércol CH4'!D42</f>
        <v>ESPAC 2018, tabla 50</v>
      </c>
      <c r="D59" s="2036" t="str">
        <f>'3B Manejo de Estiércol CH4'!E42</f>
        <v>Corresponde al número de toros de 2 o más años de edad</v>
      </c>
      <c r="E59" s="2036" t="str">
        <f>'3B Manejo de Estiércol CH4'!F42</f>
        <v>Se obtiene por defecto de la tabla 10.13 directrices IPCC V4, para ganado de la sierra se considera productividad media, en tanto para las otras regiones se considera productividad baja</v>
      </c>
      <c r="F59" s="2036" t="str">
        <f>'3B Manejo de Estiércol CH4'!G42</f>
        <v>Dato propio del país según registros de proyecto GCI por región</v>
      </c>
      <c r="G59" s="2036" t="str">
        <f>'3B Manejo de Estiércol CH4'!H42</f>
        <v>Valor propio del país según registros proyecto GCI por región, se promedian modos de producción</v>
      </c>
      <c r="H59" s="2056" t="str">
        <f>'3B Manejo de Estiércol CH4'!I42</f>
        <v>Factor de emisión por defecto tablas 10.14 y 10.15 directrices IPCC V4, en algunos casos se asemejan factores según similitud de sistemas de manejo y tipo de clima por región</v>
      </c>
      <c r="I59" s="2055"/>
      <c r="J59" s="2055"/>
      <c r="K59" s="2055"/>
      <c r="L59" s="929" t="s">
        <v>43</v>
      </c>
    </row>
    <row r="60" spans="2:28" ht="12" customHeight="1">
      <c r="B60" s="2036" t="str">
        <f>'3B Manejo de Estiércol CH4'!B43</f>
        <v>No Lechero Vacas</v>
      </c>
      <c r="C60" s="2036" t="str">
        <f>'3B Manejo de Estiércol CH4'!D43</f>
        <v>ESPAC 2018, tabla 50</v>
      </c>
      <c r="D60" s="2036" t="str">
        <f>'3B Manejo de Estiércol CH4'!E43</f>
        <v>Corresponde al número de vacas de 2 o más años de edad menos el número de vacas ordeñadas</v>
      </c>
      <c r="E60" s="2036" t="str">
        <f>'3B Manejo de Estiércol CH4'!F43</f>
        <v>Se obtiene por defecto de la tabla 10.13 directrices IPCC V4, para ganado de la sierra se considera productividad media, en tanto para las otras regiones se considera productividad baja</v>
      </c>
      <c r="F60" s="2036" t="str">
        <f>'3B Manejo de Estiércol CH4'!G43</f>
        <v>Dato propio del país según registros de proyecto GCI por región</v>
      </c>
      <c r="G60" s="2036" t="str">
        <f>'3B Manejo de Estiércol CH4'!H43</f>
        <v>Valor propio del país según registros proyecto GCI por región, se promedian modos de producción</v>
      </c>
      <c r="H60" s="2056" t="str">
        <f>'3B Manejo de Estiércol CH4'!I43</f>
        <v>Factor de emisión por defecto tablas 10.14 y 10.15 directrices IPCC V4, en algunos casos se asemejan factores según similitud de sistemas de manejo y tipo de clima por región</v>
      </c>
      <c r="I60" s="2055"/>
      <c r="J60" s="2055"/>
      <c r="K60" s="2055"/>
      <c r="L60" s="929" t="s">
        <v>43</v>
      </c>
    </row>
    <row r="61" spans="2:28" ht="12" customHeight="1">
      <c r="B61" s="2036" t="str">
        <f>'3B Manejo de Estiércol CH4'!B44</f>
        <v>No Lechero En crecimiento</v>
      </c>
      <c r="C61" s="2036" t="str">
        <f>'3B Manejo de Estiércol CH4'!D44</f>
        <v>ESPAC 2018, tabla 50</v>
      </c>
      <c r="D61" s="2036" t="str">
        <f>'3B Manejo de Estiércol CH4'!E44</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1" s="2036" t="str">
        <f>'3B Manejo de Estiércol CH4'!F44</f>
        <v>Se obtiene por defecto de la tabla 10.13 directrices IPCC V4, para ganado de la sierra se considera productividad media, en tanto para las otras regiones se considera productividad baja</v>
      </c>
      <c r="F61" s="2036" t="str">
        <f>'3B Manejo de Estiércol CH4'!G44</f>
        <v>Dato propio del país según registros de proyecto GCI por región, suma grupos de bovinos menores a 2 años machos y hembras</v>
      </c>
      <c r="G61" s="2036" t="str">
        <f>'3B Manejo de Estiércol CH4'!H44</f>
        <v>Valor propio del país según registros proyecto GCI por región, se promedian modos de producción</v>
      </c>
      <c r="H61" s="2056" t="str">
        <f>'3B Manejo de Estiércol CH4'!I44</f>
        <v>Factor de emisión por defecto tablas 10.14 y 10.15 directrices IPCC V4, en algunos casos se asemejan factores según similitud de sistemas de manejo y tipo de clima por región</v>
      </c>
      <c r="I61" s="2055"/>
      <c r="J61" s="2055"/>
      <c r="K61" s="2055"/>
      <c r="L61" s="929" t="s">
        <v>43</v>
      </c>
    </row>
    <row r="62" spans="2:28" ht="12" customHeight="1">
      <c r="B62" s="2036" t="str">
        <f>'3B Manejo de Estiércol CH4'!B45</f>
        <v>Búfalos</v>
      </c>
      <c r="C62" s="2036" t="str">
        <f>'3B Manejo de Estiércol CH4'!D45</f>
        <v>Datos Agrocalidad, registro vacunación por fiebre aftosa.</v>
      </c>
      <c r="D62" s="2036">
        <f>'3B Manejo de Estiércol CH4'!E45</f>
        <v>0</v>
      </c>
      <c r="E62" s="2036" t="str">
        <f>'3B Manejo de Estiércol CH4'!F45</f>
        <v>Se obtiene por defecto de la tabla 10.13 directrices IPCC V4, para todas las regiones se considera productividad baja (relacionando pesos vivo)</v>
      </c>
      <c r="F62" s="2036" t="str">
        <f>'3B Manejo de Estiércol CH4'!G45</f>
        <v xml:space="preserve">Valor por defecto directrices IPCC tabla 10A.5 </v>
      </c>
      <c r="G62" s="2036" t="str">
        <f>'3B Manejo de Estiércol CH4'!H45</f>
        <v>Valor por defecto Tablas 10A.6 a 10A.9 directrices IPCC V4, Otros al no ser relevante suma los demás sistemas no considerados individualmente</v>
      </c>
      <c r="H62" s="2056" t="str">
        <f>'3B Manejo de Estiércol CH4'!I45</f>
        <v>Factor de emisión por defecto tablas 10.14 y 10.15 directrices IPCC V4, en algunos casos se asemejan factores según similitud de sistemas de manejo y tipo de clima por región</v>
      </c>
      <c r="I62" s="2055"/>
      <c r="J62" s="2055"/>
      <c r="K62" s="2055"/>
      <c r="L62" s="929" t="s">
        <v>43</v>
      </c>
    </row>
    <row r="63" spans="2:28" ht="12" customHeight="1">
      <c r="B63" s="2036" t="str">
        <f>'3B Manejo de Estiércol CH4'!B46</f>
        <v>Ovejas</v>
      </c>
      <c r="C63" s="2036" t="str">
        <f>'3B Manejo de Estiércol CH4'!D46</f>
        <v>ESPAC 2018 , tabla 60</v>
      </c>
      <c r="D63" s="2036" t="str">
        <f>'3B Manejo de Estiércol CH4'!E46</f>
        <v>se confirma que el dato puede ser usado como dato final (dias vivo) considerando que el formulario del INEC pregunta por las existencias al momento de la encuesta, y no existe estadistica nacional para discretizar aquella población que vive menos de un año.</v>
      </c>
      <c r="E63" s="2036" t="str">
        <f>'3B Manejo de Estiércol CH4'!F46</f>
        <v>Se obtiene por defecto de la tabla 10.13 directrices IPCC V4, para todas las regiones se considera productividad baja (relacionando pesos vivo)</v>
      </c>
      <c r="F63" s="2036" t="str">
        <f>'3B Manejo de Estiércol CH4'!G46</f>
        <v>Valor por defecto directrices IPCC tabla 10A.6</v>
      </c>
      <c r="G63" s="2036" t="str">
        <f>'3B Manejo de Estiércol CH4'!H46</f>
        <v>Valor por defecto Tablas 10A.6 a 10A.9 directrices IPCC V4, Otros al no ser relevante suma los demás sistemas no considerados individualmente</v>
      </c>
      <c r="H63" s="2056" t="str">
        <f>'3B Manejo de Estiércol CH4'!I46</f>
        <v>Factor de emisión por defecto tablas 10.14 y 10.15 directrices IPCC V4, en algunos casos se asemejan factores según similitud de sistemas de manejo y tipo de clima por región</v>
      </c>
      <c r="I63" s="2055"/>
      <c r="J63" s="2055"/>
      <c r="K63" s="2055"/>
      <c r="L63" s="929" t="s">
        <v>43</v>
      </c>
    </row>
    <row r="64" spans="2:28" ht="12" customHeight="1">
      <c r="B64" s="2036" t="str">
        <f>'3B Manejo de Estiércol CH4'!B47</f>
        <v>Cabras</v>
      </c>
      <c r="C64" s="2036" t="str">
        <f>'3B Manejo de Estiércol CH4'!D47</f>
        <v>ESPAC 2018 , tabla 61</v>
      </c>
      <c r="D64" s="2036" t="str">
        <f>'3B Manejo de Estiércol CH4'!E47</f>
        <v>se confirma que el dato puede ser usado como dato final (dias vivo) considerando que el formulario del INEC pregunta por las existencias al momento de la encuesta, y no existe estadistica nacional para discretizar aquella población que vive menos de un año.</v>
      </c>
      <c r="E64" s="2036" t="str">
        <f>'3B Manejo de Estiércol CH4'!F47</f>
        <v>Se obtiene por defecto de la tabla 10.13 directrices IPCC V4, para todas las regiones se considera productividad baja (relacionando pesos vivo)</v>
      </c>
      <c r="F64" s="2036" t="str">
        <f>'3B Manejo de Estiércol CH4'!G47</f>
        <v>Valor por defecto directrices IPCC tabla 10A.7</v>
      </c>
      <c r="G64" s="2036" t="str">
        <f>'3B Manejo de Estiércol CH4'!H47</f>
        <v>Valor por defecto Tablas 10A.6 a 10A.9 directrices IPCC V4, Otros al no ser relevante suma los demás sistemas no considerados individualmente</v>
      </c>
      <c r="H64" s="2056" t="str">
        <f>'3B Manejo de Estiércol CH4'!I47</f>
        <v>Factor de emisión por defecto tablas 10.14 y 10.15 directrices IPCC V4, en algunos casos se asemejan factores según similitud de sistemas de manejo y tipo de clima por región</v>
      </c>
      <c r="I64" s="2055"/>
      <c r="J64" s="2055"/>
      <c r="K64" s="2055"/>
      <c r="L64" s="929" t="s">
        <v>43</v>
      </c>
    </row>
    <row r="65" spans="2:28" ht="12" customHeight="1">
      <c r="B65" s="2036" t="str">
        <f>'3B Manejo de Estiércol CH4'!B48</f>
        <v>Camélidos sudamericanos</v>
      </c>
      <c r="C65" s="2036" t="str">
        <f>'3B Manejo de Estiércol CH4'!D48</f>
        <v>Ministerio de Agricultura, Agrocalidad, Regional Chimborazo</v>
      </c>
      <c r="D65" s="2036" t="str">
        <f>'3B Manejo de Estiércol CH4'!E48</f>
        <v>Se confirman estadisticas similares y poblaciones estacionales para la categoría, las tasas de crecimiento se proyectan desde los datos de 2016 y 2018 para los siguientes años</v>
      </c>
      <c r="E65" s="2036" t="str">
        <f>'3B Manejo de Estiércol CH4'!F48</f>
        <v>Se obtiene por defecto de la tabla 10.13 directrices IPCC V4, para todas las regiones se considera productividad baja (relacionando pesos vivo)</v>
      </c>
      <c r="F65" s="2036" t="str">
        <f>'3B Manejo de Estiércol CH4'!G48</f>
        <v>Valor por defecto directrices IPCC tabla 10A.8</v>
      </c>
      <c r="G65" s="2036" t="str">
        <f>'3B Manejo de Estiércol CH4'!H48</f>
        <v>Valor por defecto Tablas 10A.6 a 10A.9 directrices IPCC V4, Otros al no ser relevante suma los demás sistemas no considerados individualmente</v>
      </c>
      <c r="H65" s="2056" t="str">
        <f>'3B Manejo de Estiércol CH4'!I48</f>
        <v>Factor de emisión por defecto tablas 10.14 y 10.15 directrices IPCC V4, en algunos casos se asemejan factores según similitud de sistemas de manejo y tipo de clima por región</v>
      </c>
      <c r="I65" s="2055"/>
      <c r="J65" s="2055"/>
      <c r="K65" s="2055"/>
      <c r="L65" s="929" t="s">
        <v>43</v>
      </c>
    </row>
    <row r="66" spans="2:28" ht="12" customHeight="1">
      <c r="B66" s="2036" t="str">
        <f>'3B Manejo de Estiércol CH4'!B49</f>
        <v>Caballos</v>
      </c>
      <c r="C66" s="2036" t="str">
        <f>'3B Manejo de Estiércol CH4'!D49</f>
        <v>ESPAC 2018 , tabla 61</v>
      </c>
      <c r="D66" s="2036" t="str">
        <f>'3B Manejo de Estiércol CH4'!E49</f>
        <v>se confirma que el dato puede ser usado como dato final (dias vivo) considerando que el formulario del INEC pregunta por las existencias al momento de la encuesta, y no existe estadistica nacional para discretizar aquella población que vive menos de un año.</v>
      </c>
      <c r="E66" s="2036" t="str">
        <f>'3B Manejo de Estiércol CH4'!F49</f>
        <v>Se obtiene por defecto de la tabla 10.13 directrices IPCC V4, para todas las regiones se considera productividad baja (relacionando pesos vivo)</v>
      </c>
      <c r="F66" s="2036" t="str">
        <f>'3B Manejo de Estiércol CH4'!G49</f>
        <v>Valor por defecto directrices IPCC tabla 10A.9</v>
      </c>
      <c r="G66" s="2036" t="str">
        <f>'3B Manejo de Estiércol CH4'!H49</f>
        <v>Valor por defecto Tablas 10A.6 a 10A.9 directrices IPCC V4, Otros al no ser relevante suma los demás sistemas no considerados individualmente</v>
      </c>
      <c r="H66" s="2056" t="str">
        <f>'3B Manejo de Estiércol CH4'!I49</f>
        <v>Factor de emisión por defecto tablas 10.14 y 10.15 directrices IPCC V4, en algunos casos se asemejan factores según similitud de sistemas de manejo y tipo de clima por región</v>
      </c>
      <c r="I66" s="2055"/>
      <c r="J66" s="2055"/>
      <c r="K66" s="2055"/>
      <c r="L66" s="929" t="s">
        <v>43</v>
      </c>
    </row>
    <row r="67" spans="2:28" ht="12" customHeight="1">
      <c r="B67" s="2036" t="str">
        <f>'3B Manejo de Estiércol CH4'!B50</f>
        <v>Mulas &amp; Asnos</v>
      </c>
      <c r="C67" s="2036" t="str">
        <f>'3B Manejo de Estiércol CH4'!D50</f>
        <v>ESPAC 2018 , tabla 61</v>
      </c>
      <c r="D67" s="2036" t="str">
        <f>'3B Manejo de Estiércol CH4'!E50</f>
        <v>se confirma que el dato puede ser usado como dato final (dias vivo) considerando que el formulario del INEC pregunta por las existencias al momento de la encuesta, y no existe estadistica nacional para discretizar aquella población que vive menos de un año.</v>
      </c>
      <c r="E67" s="2036" t="str">
        <f>'3B Manejo de Estiércol CH4'!F50</f>
        <v>Se obtiene por defecto de la tabla 10.13 directrices IPCC V4, para todas las regiones se considera productividad baja (relacionando pesos vivo)</v>
      </c>
      <c r="F67" s="2036" t="str">
        <f>'3B Manejo de Estiércol CH4'!G50</f>
        <v>Valor por defecto directrices IPCC tabla 10A.10</v>
      </c>
      <c r="G67" s="2036" t="str">
        <f>'3B Manejo de Estiércol CH4'!H50</f>
        <v>Valor por defecto Tablas 10A.6 a 10A.9 directrices IPCC V4, Otros al no ser relevante suma los demás sistemas no considerados individualmente</v>
      </c>
      <c r="H67" s="2056" t="str">
        <f>'3B Manejo de Estiércol CH4'!I50</f>
        <v>Factor de emisión por defecto tablas 10.14 y 10.15 directrices IPCC V4, en algunos casos se asemejan factores según similitud de sistemas de manejo y tipo de clima por región</v>
      </c>
      <c r="I67" s="2055"/>
      <c r="J67" s="2055"/>
      <c r="K67" s="2055"/>
      <c r="L67" s="929" t="s">
        <v>43</v>
      </c>
    </row>
    <row r="68" spans="2:28" ht="12" customHeight="1">
      <c r="B68" s="2036" t="str">
        <f>'3B Manejo de Estiércol CH4'!B51</f>
        <v>Cerdos</v>
      </c>
      <c r="C68" s="2036" t="str">
        <f>'3B Manejo de Estiércol CH4'!D51</f>
        <v>ESPAC 2018 , tabla 57</v>
      </c>
      <c r="D68" s="2036" t="str">
        <f>'3B Manejo de Estiércol CH4'!E51</f>
        <v>Se usa el dato de existencias, para afinar la estadistica de "dias vivo", el periodo de dias vivo se consideran 27 semanas</v>
      </c>
      <c r="E68" s="2036" t="str">
        <f>'3B Manejo de Estiércol CH4'!F51</f>
        <v>Se obtiene por defecto de la tabla 10.13 directrices IPCC V4, para todas las regiones se considera productividad baja (relacionando pesos vivo)</v>
      </c>
      <c r="F68" s="2036" t="str">
        <f>'3B Manejo de Estiércol CH4'!G51</f>
        <v>Valor por defecto directrices IPCC tabla 10A.11</v>
      </c>
      <c r="G68" s="2036" t="str">
        <f>'3B Manejo de Estiércol CH4'!H51</f>
        <v>Valor por defecto Tablas 10A.6 a 10A.9 directrices IPCC V4, Otros al no ser relevante suma los demás sistemas no considerados individualmente</v>
      </c>
      <c r="H68" s="2056" t="str">
        <f>'3B Manejo de Estiércol CH4'!I51</f>
        <v>Factor de emisión por defecto tablas 10.14 y 10.15 directrices IPCC V4, en algunos casos se asemejan factores según similitud de sistemas de manejo y tipo de clima por región</v>
      </c>
      <c r="I68" s="2055"/>
      <c r="J68" s="2055"/>
      <c r="K68" s="2055"/>
      <c r="L68" s="929" t="s">
        <v>43</v>
      </c>
    </row>
    <row r="69" spans="2:28" ht="12" customHeight="1">
      <c r="B69" s="2036" t="str">
        <f>'3B Manejo de Estiércol CH4'!B52</f>
        <v>Aves de engorde</v>
      </c>
      <c r="C69" s="2036" t="str">
        <f>'3B Manejo de Estiércol CH4'!D52</f>
        <v>Datos de CONAVE considerando los dias vivo del animal al año</v>
      </c>
      <c r="D69" s="2036" t="str">
        <f>'3B Manejo de Estiércol CH4'!E52</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69" s="2036" t="str">
        <f>'3B Manejo de Estiércol CH4'!F52</f>
        <v>Se obtiene por defecto de la tabla 10.13 directrices IPCC V4, para todas las regiones se considera productividad media (relacionando sistemas de producción referenciados en las directrices IPCC)</v>
      </c>
      <c r="F69" s="2036" t="str">
        <f>'3B Manejo de Estiércol CH4'!G52</f>
        <v>Valor por defecto directrices IPCC tabla 10A.12</v>
      </c>
      <c r="G69" s="2036" t="str">
        <f>'3B Manejo de Estiércol CH4'!H52</f>
        <v>Valor por defecto Tablas 10A.6 a 10A.9 directrices IPCC V4, Otros al no ser relevante suma los demás sistemas no considerados individualmente</v>
      </c>
      <c r="H69" s="2056" t="str">
        <f>'3B Manejo de Estiércol CH4'!I52</f>
        <v>Factor de emisión por defecto tablas 10.14 y 10.15 directrices IPCC V4, en algunos casos se asemejan factores según similitud de sistemas de manejo y tipo de clima por región</v>
      </c>
      <c r="I69" s="2055"/>
      <c r="J69" s="2055"/>
      <c r="K69" s="2055"/>
      <c r="L69" s="929" t="s">
        <v>43</v>
      </c>
    </row>
    <row r="70" spans="2:28" ht="12" customHeight="1">
      <c r="B70" s="2036" t="str">
        <f>'3B Manejo de Estiércol CH4'!B53</f>
        <v>Ponedoras</v>
      </c>
      <c r="C70" s="2036" t="str">
        <f>'3B Manejo de Estiércol CH4'!D53</f>
        <v>Datos de CONAVE considerando los dias vivo del animal al año</v>
      </c>
      <c r="D70" s="2036" t="str">
        <f>'3B Manejo de Estiércol CH4'!E53</f>
        <v>Corresponde al dato de número de cabezas de patos criados en campo</v>
      </c>
      <c r="E70" s="2036" t="str">
        <f>'3B Manejo de Estiércol CH4'!F53</f>
        <v>Se obtiene por defecto de la tabla 10.13 directrices IPCC V4, para todas las regiones se considera productividad media (relacionando sistemas de producción referenciados en las directrices IPCC)</v>
      </c>
      <c r="F70" s="2036" t="str">
        <f>'3B Manejo de Estiércol CH4'!G53</f>
        <v>Valor por defecto directrices IPCC tabla 10A.13</v>
      </c>
      <c r="G70" s="2036" t="str">
        <f>'3B Manejo de Estiércol CH4'!H53</f>
        <v>Valor por defecto Tablas 10A.6 a 10A.9 directrices IPCC V4, Otros al no ser relevante suma los demás sistemas no considerados individualmente</v>
      </c>
      <c r="H70" s="2056" t="str">
        <f>'3B Manejo de Estiércol CH4'!I53</f>
        <v>Factor de emisión por defecto tablas 10.14 y 10.15 directrices IPCC V4, en algunos casos se asemejan factores según similitud de sistemas de manejo y tipo de clima por región</v>
      </c>
      <c r="I70" s="2055"/>
      <c r="J70" s="2055"/>
      <c r="K70" s="2055"/>
      <c r="L70" s="929" t="s">
        <v>43</v>
      </c>
    </row>
    <row r="71" spans="2:28" ht="12" customHeight="1">
      <c r="B71" s="2036" t="str">
        <f>'3B Manejo de Estiércol CH4'!B54</f>
        <v>Patos</v>
      </c>
      <c r="C71" s="2036" t="str">
        <f>'3B Manejo de Estiércol CH4'!D54</f>
        <v>ESPAC 2018 , tabla 62,63</v>
      </c>
      <c r="D71" s="2036" t="str">
        <f>'3B Manejo de Estiércol CH4'!E54</f>
        <v>Corresponde a la suma de aves criadas en campo (pavos) + aves criadas en planteles avícolas (pavos)</v>
      </c>
      <c r="E71" s="2036" t="str">
        <f>'3B Manejo de Estiércol CH4'!F54</f>
        <v>Se obtiene por defecto de la tabla 10.13 directrices IPCC V4, para todas las regiones se considera productividad baja (relacionando sistemas de producción referenciados en las directrices IPCC)</v>
      </c>
      <c r="F71" s="2036" t="str">
        <f>'3B Manejo de Estiércol CH4'!G54</f>
        <v>Valor por defecto directrices IPCC tabla 10A.14</v>
      </c>
      <c r="G71" s="2036" t="str">
        <f>'3B Manejo de Estiércol CH4'!H54</f>
        <v>Valor por defecto Tablas 10A.6 a 10A.9 directrices IPCC V4, Otros al no ser relevante suma los demás sistemas no considerados individualmente</v>
      </c>
      <c r="H71" s="2056" t="str">
        <f>'3B Manejo de Estiércol CH4'!I54</f>
        <v>Factor de emisión por defecto tablas 10.14 y 10.15 directrices IPCC V4, en algunos casos se asemejan factores según similitud de sistemas de manejo y tipo de clima por región</v>
      </c>
      <c r="I71" s="2055"/>
      <c r="J71" s="2055"/>
      <c r="K71" s="2055"/>
      <c r="L71" s="929" t="s">
        <v>43</v>
      </c>
    </row>
    <row r="72" spans="2:28" ht="12" customHeight="1">
      <c r="B72" s="2036" t="str">
        <f>'3B Manejo de Estiércol CH4'!B55</f>
        <v>Pavos</v>
      </c>
      <c r="C72" s="2036" t="str">
        <f>'3B Manejo de Estiércol CH4'!D55</f>
        <v>ESPAC 2018 , tabla 62,63</v>
      </c>
      <c r="D72" s="2036" t="str">
        <f>'3B Manejo de Estiércol CH4'!E55</f>
        <v>Corresponde al dato de número de cabezas de ponedoras en planteles avícolas</v>
      </c>
      <c r="E72" s="2036" t="str">
        <f>'3B Manejo de Estiércol CH4'!F55</f>
        <v>Se obtiene por defecto de la tabla 10.13 directrices IPCC V4, para todas las regiones se considera productividad baja (relacionando sistemas de producción referenciados en las directrices IPCC)</v>
      </c>
      <c r="F72" s="2036" t="str">
        <f>'3B Manejo de Estiércol CH4'!G55</f>
        <v>Valor por defecto directrices IPCC tabla 10A.15</v>
      </c>
      <c r="G72" s="2036" t="str">
        <f>'3B Manejo de Estiércol CH4'!H55</f>
        <v>Valor por defecto Tablas 10A.6 a 10A.9 directrices IPCC V4, Otros al no ser relevante suma los demás sistemas no considerados individualmente</v>
      </c>
      <c r="H72" s="2056" t="str">
        <f>'3B Manejo de Estiércol CH4'!I55</f>
        <v>Factor de emisión por defecto tablas 10.14 y 10.15 directrices IPCC V4, en algunos casos se asemejan factores según similitud de sistemas de manejo y tipo de clima por región</v>
      </c>
      <c r="I72" s="2055"/>
      <c r="J72" s="2055"/>
      <c r="K72" s="2055"/>
      <c r="L72" s="929" t="s">
        <v>43</v>
      </c>
    </row>
    <row r="73" spans="2:28" s="1044" customFormat="1">
      <c r="B73" s="1306"/>
      <c r="C73" s="1306"/>
      <c r="D73" s="1306"/>
      <c r="E73" s="1306"/>
      <c r="F73" s="1306"/>
      <c r="G73" s="1306"/>
      <c r="H73" s="1306"/>
      <c r="I73" s="1306"/>
      <c r="J73" s="1306"/>
      <c r="K73" s="1306"/>
      <c r="M73" s="929"/>
      <c r="N73" s="929"/>
      <c r="O73" s="929"/>
      <c r="P73" s="929"/>
      <c r="Q73" s="929"/>
      <c r="R73" s="929"/>
      <c r="S73" s="929"/>
      <c r="T73" s="929"/>
      <c r="U73" s="929"/>
      <c r="V73" s="929"/>
      <c r="W73" s="929"/>
      <c r="X73" s="929"/>
      <c r="Y73" s="929"/>
      <c r="Z73" s="929"/>
      <c r="AA73" s="929"/>
      <c r="AB73" s="929"/>
    </row>
    <row r="74" spans="2:28">
      <c r="B74" s="1044"/>
      <c r="C74" s="1044"/>
      <c r="D74" s="1044"/>
      <c r="E74" s="1044"/>
      <c r="F74" s="1044"/>
      <c r="G74" s="1044"/>
      <c r="H74" s="1044"/>
      <c r="I74" s="1044"/>
      <c r="J74" s="1044"/>
      <c r="K74" s="1044"/>
    </row>
    <row r="75" spans="2:28">
      <c r="B75" s="1044"/>
      <c r="C75" s="1044"/>
      <c r="D75" s="1044"/>
      <c r="E75" s="1044"/>
      <c r="F75" s="1044"/>
      <c r="G75" s="1044"/>
      <c r="H75" s="1044"/>
      <c r="I75" s="1044"/>
      <c r="J75" s="1044"/>
      <c r="K75" s="1044"/>
    </row>
    <row r="76" spans="2:28">
      <c r="B76" s="1044"/>
      <c r="C76" s="1044"/>
      <c r="D76" s="1044"/>
      <c r="E76" s="1044"/>
      <c r="F76" s="1044"/>
      <c r="G76" s="1044"/>
      <c r="H76" s="1044"/>
      <c r="I76" s="1044"/>
      <c r="J76" s="1044"/>
      <c r="K76" s="1044"/>
    </row>
    <row r="84" ht="12.75" customHeight="1"/>
  </sheetData>
  <conditionalFormatting sqref="J5">
    <cfRule type="expression" dxfId="7" priority="1">
      <formula>"&lt;0,01"</formula>
    </cfRule>
  </conditionalFormatting>
  <dataValidations count="1">
    <dataValidation allowBlank="1" showInputMessage="1" showErrorMessage="1" sqref="G54:K54 N23 M28 C73:K65553 N10 M6 M9:M10 O13:O15 O34 O19:O21 M22:O22 O25 O28 O31 M40 W7:X9 C48:K49 M34:M35 W6:AB6 M16:O16 O6:O10 O37 M1:JB5 P6:R39 C1:K45 S6:V9 S10:AB39 M44:M55 N45:AB55 AC6:JB55 C54:F55 B1:B65553 M73:AB65530 AC73:JB65548 C56:H72 J56:K72 M56:IW72 L1:L1048576" xr:uid="{B1D6818E-C7E8-4A65-8988-2D1BDBF02F51}"/>
  </dataValidations>
  <hyperlinks>
    <hyperlink ref="B5" location="Index" display="Back to Index" xr:uid="{CEAA4746-1645-4B19-9A19-3DA09A545368}"/>
  </hyperlinks>
  <printOptions horizontalCentered="1" verticalCentered="1"/>
  <pageMargins left="0.39370078740157483" right="0.39370078740157483" top="0.39370078740157483" bottom="0.39370078740157483" header="0.19685039370078741" footer="0.19685039370078741"/>
  <pageSetup paperSize="9" scale="50" fitToWidth="0" orientation="landscape" r:id="rId1"/>
  <headerFooter alignWithMargins="0">
    <oddFooter>&amp;L&amp;A</oddFooter>
  </headerFooter>
  <colBreaks count="1" manualBreakCount="1">
    <brk id="11" max="61"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20A5-FC90-4A7B-B9AB-9C9B819EEFB9}">
  <sheetPr>
    <tabColor theme="5" tint="-0.249977111117893"/>
    <pageSetUpPr fitToPage="1"/>
  </sheetPr>
  <dimension ref="A1:AA75"/>
  <sheetViews>
    <sheetView showGridLines="0" zoomScale="60" zoomScaleNormal="60" zoomScaleSheetLayoutView="100" workbookViewId="0">
      <pane xSplit="2" ySplit="9" topLeftCell="K36" activePane="bottomRight" state="frozen"/>
      <selection activeCell="L28" sqref="L28"/>
      <selection pane="topRight" activeCell="L28" sqref="L28"/>
      <selection pane="bottomLeft" activeCell="L28" sqref="L28"/>
      <selection pane="bottomRight" activeCell="AE8" sqref="AE8"/>
    </sheetView>
  </sheetViews>
  <sheetFormatPr defaultColWidth="7.33203125" defaultRowHeight="13"/>
  <cols>
    <col min="1" max="1" width="1.6640625" style="929" customWidth="1"/>
    <col min="2" max="2" width="35.33203125" style="929" bestFit="1" customWidth="1"/>
    <col min="3" max="3" width="8.4140625" style="929" bestFit="1" customWidth="1"/>
    <col min="4" max="4" width="10.5" style="929" bestFit="1" customWidth="1"/>
    <col min="5" max="5" width="11.1640625" style="929" bestFit="1" customWidth="1"/>
    <col min="6" max="8" width="5.83203125" style="929" customWidth="1"/>
    <col min="9" max="9" width="7.08203125" style="929" customWidth="1"/>
    <col min="10" max="13" width="5.83203125" style="929" customWidth="1"/>
    <col min="14" max="14" width="8.33203125" style="929" customWidth="1"/>
    <col min="15" max="16" width="5.83203125" style="929" customWidth="1"/>
    <col min="17" max="17" width="9" style="929" customWidth="1"/>
    <col min="18" max="18" width="11.6640625" style="929" bestFit="1" customWidth="1"/>
    <col min="19" max="19" width="10.58203125" style="929" customWidth="1"/>
    <col min="20" max="20" width="8.6640625" style="929" bestFit="1" customWidth="1"/>
    <col min="21" max="21" width="9.33203125" style="929" customWidth="1"/>
    <col min="22" max="22" width="6.25" style="929" customWidth="1"/>
    <col min="23" max="23" width="7.1640625" style="929" customWidth="1"/>
    <col min="24" max="24" width="8.75" style="929" customWidth="1"/>
    <col min="25" max="25" width="6.25" style="929" customWidth="1"/>
    <col min="26" max="26" width="7.1640625" style="929" customWidth="1"/>
    <col min="27" max="16384" width="7.33203125" style="929"/>
  </cols>
  <sheetData>
    <row r="1" spans="1:27" ht="15.75" customHeight="1">
      <c r="B1" s="930" t="s">
        <v>1635</v>
      </c>
      <c r="R1" s="1160"/>
      <c r="X1" s="1160"/>
      <c r="Y1" s="1160"/>
      <c r="Z1" s="1160" t="s">
        <v>1455</v>
      </c>
      <c r="AA1" s="929">
        <v>2018</v>
      </c>
    </row>
    <row r="2" spans="1:27" ht="17.25" customHeight="1">
      <c r="B2" s="930" t="s">
        <v>1636</v>
      </c>
      <c r="R2" s="1160"/>
      <c r="X2" s="1160"/>
      <c r="Y2" s="1160"/>
      <c r="Z2" s="1160" t="s">
        <v>1457</v>
      </c>
    </row>
    <row r="3" spans="1:27" ht="15.75" customHeight="1" thickBot="1">
      <c r="B3" s="930" t="s">
        <v>1456</v>
      </c>
      <c r="R3" s="1160"/>
      <c r="X3" s="1160"/>
      <c r="Y3" s="1160"/>
      <c r="Z3" s="1160" t="s">
        <v>1458</v>
      </c>
      <c r="AA3" s="929" t="s">
        <v>2243</v>
      </c>
    </row>
    <row r="4" spans="1:27" ht="15.75" customHeight="1" thickBot="1">
      <c r="B4" s="1338" t="s">
        <v>1459</v>
      </c>
      <c r="R4" s="1160"/>
      <c r="Y4" s="2049" t="str">
        <f>IF(Z4-RESULTADOS!D18&lt;0.0001,"OK","NO")</f>
        <v>NO</v>
      </c>
      <c r="Z4" s="2063">
        <f>X15+X22+X25+X28</f>
        <v>1.025784187661245</v>
      </c>
    </row>
    <row r="5" spans="1:27" ht="34.5">
      <c r="B5" s="1339" t="s">
        <v>1637</v>
      </c>
      <c r="C5" s="1163" t="s">
        <v>1638</v>
      </c>
      <c r="D5" s="1163"/>
      <c r="E5" s="1163"/>
      <c r="F5" s="1340"/>
      <c r="G5" s="1163"/>
      <c r="H5" s="1163"/>
      <c r="I5" s="1163"/>
      <c r="J5" s="1163"/>
      <c r="K5" s="1163"/>
      <c r="L5" s="1163"/>
      <c r="M5" s="1163"/>
      <c r="N5" s="1163"/>
      <c r="O5" s="1163"/>
      <c r="P5" s="1163"/>
      <c r="Q5" s="1163"/>
      <c r="R5" s="1163"/>
      <c r="S5" s="1163"/>
      <c r="T5" s="1163"/>
      <c r="U5" s="1341" t="s">
        <v>1639</v>
      </c>
      <c r="V5" s="1163"/>
      <c r="W5" s="1342"/>
      <c r="X5" s="1343" t="s">
        <v>1523</v>
      </c>
      <c r="Y5" s="1163"/>
      <c r="Z5" s="1342"/>
    </row>
    <row r="6" spans="1:27" s="1044" customFormat="1" ht="46">
      <c r="B6" s="1344" t="s">
        <v>1574</v>
      </c>
      <c r="C6" s="1345" t="s">
        <v>1640</v>
      </c>
      <c r="D6" s="1346" t="s">
        <v>1641</v>
      </c>
      <c r="E6" s="1346" t="s">
        <v>1642</v>
      </c>
      <c r="F6" s="1347" t="s">
        <v>1643</v>
      </c>
      <c r="G6" s="1348"/>
      <c r="H6" s="1348"/>
      <c r="I6" s="1348"/>
      <c r="J6" s="1348"/>
      <c r="K6" s="1348"/>
      <c r="L6" s="1348"/>
      <c r="M6" s="1348"/>
      <c r="N6" s="1348"/>
      <c r="O6" s="1348"/>
      <c r="P6" s="1348"/>
      <c r="Q6" s="1348"/>
      <c r="R6" s="1349" t="s">
        <v>1644</v>
      </c>
      <c r="S6" s="1350" t="s">
        <v>1645</v>
      </c>
      <c r="T6" s="1350" t="s">
        <v>1646</v>
      </c>
      <c r="U6" s="1351" t="s">
        <v>1647</v>
      </c>
      <c r="V6" s="1352"/>
      <c r="W6" s="1353"/>
      <c r="X6" s="1354" t="s">
        <v>1463</v>
      </c>
      <c r="Y6" s="1355"/>
      <c r="Z6" s="1356"/>
    </row>
    <row r="7" spans="1:27" s="1044" customFormat="1" ht="12.75" customHeight="1">
      <c r="B7" s="1357"/>
      <c r="C7" s="1345"/>
      <c r="D7" s="1345"/>
      <c r="E7" s="1345"/>
      <c r="F7" s="1358"/>
      <c r="G7" s="1358"/>
      <c r="H7" s="1358"/>
      <c r="I7" s="1359"/>
      <c r="J7" s="1359"/>
      <c r="K7" s="1359"/>
      <c r="L7" s="1359"/>
      <c r="M7" s="1360"/>
      <c r="N7" s="1361"/>
      <c r="O7" s="1361"/>
      <c r="P7" s="1361"/>
      <c r="Q7" s="1362"/>
      <c r="R7" s="1363"/>
      <c r="S7" s="1057" t="s">
        <v>1648</v>
      </c>
      <c r="T7" s="1057" t="s">
        <v>1649</v>
      </c>
      <c r="U7" s="1364" t="s">
        <v>1650</v>
      </c>
      <c r="V7" s="1352" t="s">
        <v>1651</v>
      </c>
      <c r="W7" s="1353"/>
      <c r="X7" s="1364" t="s">
        <v>1650</v>
      </c>
      <c r="Y7" s="1365" t="s">
        <v>1651</v>
      </c>
      <c r="Z7" s="1356"/>
    </row>
    <row r="8" spans="1:27" s="1044" customFormat="1" ht="85" customHeight="1">
      <c r="B8" s="1366"/>
      <c r="C8" s="1367" t="s">
        <v>1652</v>
      </c>
      <c r="D8" s="1368" t="s">
        <v>1653</v>
      </c>
      <c r="E8" s="1059" t="s">
        <v>1654</v>
      </c>
      <c r="F8" s="1369" t="s">
        <v>1582</v>
      </c>
      <c r="G8" s="1369" t="s">
        <v>1655</v>
      </c>
      <c r="H8" s="1369" t="s">
        <v>1584</v>
      </c>
      <c r="I8" s="1370" t="s">
        <v>1585</v>
      </c>
      <c r="J8" s="1370" t="s">
        <v>1586</v>
      </c>
      <c r="K8" s="1370" t="s">
        <v>1587</v>
      </c>
      <c r="L8" s="1370" t="s">
        <v>1588</v>
      </c>
      <c r="M8" s="1371" t="s">
        <v>1656</v>
      </c>
      <c r="N8" s="1372" t="s">
        <v>1590</v>
      </c>
      <c r="O8" s="1372" t="s">
        <v>1591</v>
      </c>
      <c r="P8" s="1372" t="s">
        <v>1657</v>
      </c>
      <c r="Q8" s="1371" t="s">
        <v>1658</v>
      </c>
      <c r="R8" s="1345"/>
      <c r="S8" s="1373" t="s">
        <v>1659</v>
      </c>
      <c r="T8" s="1374" t="s">
        <v>1660</v>
      </c>
      <c r="U8" s="1375"/>
      <c r="V8" s="1376" t="s">
        <v>1661</v>
      </c>
      <c r="W8" s="1377" t="s">
        <v>1662</v>
      </c>
      <c r="X8" s="1375"/>
      <c r="Y8" s="1376" t="s">
        <v>1661</v>
      </c>
      <c r="Z8" s="1377" t="s">
        <v>1662</v>
      </c>
    </row>
    <row r="9" spans="1:27" s="1044" customFormat="1" ht="25.5" thickBot="1">
      <c r="A9" s="929"/>
      <c r="B9" s="1378"/>
      <c r="C9" s="1379"/>
      <c r="D9" s="1380"/>
      <c r="E9" s="1380"/>
      <c r="F9" s="1381"/>
      <c r="G9" s="1381"/>
      <c r="H9" s="1381"/>
      <c r="I9" s="1382"/>
      <c r="J9" s="1382"/>
      <c r="K9" s="1382"/>
      <c r="L9" s="1382"/>
      <c r="M9" s="1383"/>
      <c r="N9" s="1384"/>
      <c r="O9" s="1384"/>
      <c r="P9" s="1384"/>
      <c r="Q9" s="1385"/>
      <c r="R9" s="1205" t="s">
        <v>1663</v>
      </c>
      <c r="S9" s="1065" t="s">
        <v>1663</v>
      </c>
      <c r="T9" s="1065" t="s">
        <v>1663</v>
      </c>
      <c r="U9" s="1386" t="s">
        <v>1664</v>
      </c>
      <c r="V9" s="1387" t="s">
        <v>1665</v>
      </c>
      <c r="W9" s="1388"/>
      <c r="X9" s="1389" t="s">
        <v>1469</v>
      </c>
      <c r="Y9" s="1387"/>
      <c r="Z9" s="1388"/>
    </row>
    <row r="10" spans="1:27" ht="18" customHeight="1" thickTop="1">
      <c r="B10" s="1390" t="s">
        <v>1604</v>
      </c>
      <c r="C10" s="1503">
        <f>C15</f>
        <v>4056.7956932725729</v>
      </c>
      <c r="D10" s="1504"/>
      <c r="E10" s="1505"/>
      <c r="F10" s="1516">
        <f>F15</f>
        <v>0</v>
      </c>
      <c r="G10" s="1516">
        <f t="shared" ref="G10:Q10" si="0">G15</f>
        <v>0</v>
      </c>
      <c r="H10" s="1516">
        <f t="shared" si="0"/>
        <v>0</v>
      </c>
      <c r="I10" s="1516">
        <f t="shared" si="0"/>
        <v>207928.12479856901</v>
      </c>
      <c r="J10" s="1516">
        <f t="shared" si="0"/>
        <v>0</v>
      </c>
      <c r="K10" s="1516">
        <f t="shared" si="0"/>
        <v>0</v>
      </c>
      <c r="L10" s="1516">
        <f t="shared" si="0"/>
        <v>0</v>
      </c>
      <c r="M10" s="1516">
        <f t="shared" si="0"/>
        <v>0</v>
      </c>
      <c r="N10" s="1516">
        <f t="shared" si="0"/>
        <v>4225432.1012167223</v>
      </c>
      <c r="O10" s="1516">
        <f t="shared" si="0"/>
        <v>0</v>
      </c>
      <c r="P10" s="1516">
        <f t="shared" si="0"/>
        <v>0</v>
      </c>
      <c r="Q10" s="1516">
        <f t="shared" si="0"/>
        <v>1456352.7456100106</v>
      </c>
      <c r="R10" s="1516">
        <f>R15</f>
        <v>5889712.9716253011</v>
      </c>
      <c r="S10" s="1391"/>
      <c r="T10" s="1392"/>
      <c r="U10" s="1501">
        <f>U15</f>
        <v>1.4518140465866383</v>
      </c>
      <c r="V10" s="1392"/>
      <c r="W10" s="1393"/>
      <c r="X10" s="1502">
        <f>X15</f>
        <v>0.1154381755565549</v>
      </c>
      <c r="Y10" s="1394"/>
      <c r="Z10" s="1395"/>
    </row>
    <row r="11" spans="1:27" ht="18" customHeight="1">
      <c r="B11" s="1396" t="s">
        <v>1474</v>
      </c>
      <c r="C11" s="1397"/>
      <c r="D11" s="1397"/>
      <c r="E11" s="1397"/>
      <c r="F11" s="1517"/>
      <c r="G11" s="1517"/>
      <c r="H11" s="1517"/>
      <c r="I11" s="1518"/>
      <c r="J11" s="1517"/>
      <c r="K11" s="1517"/>
      <c r="L11" s="1517"/>
      <c r="M11" s="1517"/>
      <c r="N11" s="1517"/>
      <c r="O11" s="1517"/>
      <c r="P11" s="1517"/>
      <c r="Q11" s="1517"/>
      <c r="R11" s="1519"/>
      <c r="S11" s="1398"/>
      <c r="T11" s="1399"/>
      <c r="U11" s="1400"/>
      <c r="V11" s="1399"/>
      <c r="W11" s="1401"/>
      <c r="X11" s="1402"/>
      <c r="Y11" s="1403"/>
      <c r="Z11" s="1404"/>
    </row>
    <row r="12" spans="1:27" ht="18" customHeight="1">
      <c r="B12" s="1258" t="s">
        <v>1488</v>
      </c>
      <c r="C12" s="1274"/>
      <c r="D12" s="1274"/>
      <c r="E12" s="2000" t="s">
        <v>2213</v>
      </c>
      <c r="F12" s="1520" t="s">
        <v>2213</v>
      </c>
      <c r="G12" s="1520" t="s">
        <v>2213</v>
      </c>
      <c r="H12" s="1520" t="s">
        <v>2213</v>
      </c>
      <c r="I12" s="1520" t="s">
        <v>2213</v>
      </c>
      <c r="J12" s="1520" t="s">
        <v>2213</v>
      </c>
      <c r="K12" s="1520" t="s">
        <v>2213</v>
      </c>
      <c r="L12" s="1520" t="s">
        <v>2213</v>
      </c>
      <c r="M12" s="1520" t="s">
        <v>2213</v>
      </c>
      <c r="N12" s="1520" t="s">
        <v>2213</v>
      </c>
      <c r="O12" s="1520" t="s">
        <v>2213</v>
      </c>
      <c r="P12" s="1520" t="s">
        <v>2213</v>
      </c>
      <c r="Q12" s="1520" t="s">
        <v>2213</v>
      </c>
      <c r="R12" s="1522" t="s">
        <v>2213</v>
      </c>
      <c r="S12" s="1406"/>
      <c r="T12" s="1120"/>
      <c r="U12" s="1407" t="s">
        <v>2213</v>
      </c>
      <c r="V12" s="1403"/>
      <c r="W12" s="1404"/>
      <c r="X12" s="1408" t="s">
        <v>2213</v>
      </c>
      <c r="Y12" s="1409"/>
      <c r="Z12" s="1410"/>
    </row>
    <row r="13" spans="1:27" ht="18" customHeight="1">
      <c r="B13" s="1258" t="s">
        <v>1489</v>
      </c>
      <c r="C13" s="1274"/>
      <c r="D13" s="1274"/>
      <c r="E13" s="2000" t="s">
        <v>2213</v>
      </c>
      <c r="F13" s="1520" t="s">
        <v>2213</v>
      </c>
      <c r="G13" s="1520" t="s">
        <v>2213</v>
      </c>
      <c r="H13" s="1520" t="s">
        <v>2213</v>
      </c>
      <c r="I13" s="1520" t="s">
        <v>2213</v>
      </c>
      <c r="J13" s="1520" t="s">
        <v>2213</v>
      </c>
      <c r="K13" s="1520" t="s">
        <v>2213</v>
      </c>
      <c r="L13" s="1520" t="s">
        <v>2213</v>
      </c>
      <c r="M13" s="1520" t="s">
        <v>2213</v>
      </c>
      <c r="N13" s="1520" t="s">
        <v>2213</v>
      </c>
      <c r="O13" s="1520" t="s">
        <v>2213</v>
      </c>
      <c r="P13" s="1520" t="s">
        <v>2213</v>
      </c>
      <c r="Q13" s="1520" t="s">
        <v>2213</v>
      </c>
      <c r="R13" s="1522" t="s">
        <v>2213</v>
      </c>
      <c r="S13" s="1406"/>
      <c r="T13" s="1120"/>
      <c r="U13" s="1407" t="s">
        <v>2213</v>
      </c>
      <c r="V13" s="1403"/>
      <c r="W13" s="1404"/>
      <c r="X13" s="1408" t="s">
        <v>2213</v>
      </c>
      <c r="Y13" s="1409"/>
      <c r="Z13" s="1410"/>
    </row>
    <row r="14" spans="1:27" ht="18" customHeight="1">
      <c r="B14" s="1396" t="s">
        <v>1666</v>
      </c>
      <c r="C14" s="1406"/>
      <c r="D14" s="1406"/>
      <c r="E14" s="1406"/>
      <c r="F14" s="1523"/>
      <c r="G14" s="1523"/>
      <c r="H14" s="1523"/>
      <c r="I14" s="1524"/>
      <c r="J14" s="1523"/>
      <c r="K14" s="1523"/>
      <c r="L14" s="1523"/>
      <c r="M14" s="1523"/>
      <c r="N14" s="1523"/>
      <c r="O14" s="1523"/>
      <c r="P14" s="1523"/>
      <c r="Q14" s="1523"/>
      <c r="R14" s="1525"/>
      <c r="S14" s="1406"/>
      <c r="T14" s="1120"/>
      <c r="U14" s="1402"/>
      <c r="V14" s="1403"/>
      <c r="W14" s="1404"/>
      <c r="X14" s="1411"/>
      <c r="Y14" s="1409"/>
      <c r="Z14" s="1410"/>
    </row>
    <row r="15" spans="1:27" ht="18" customHeight="1">
      <c r="B15" s="1412" t="s">
        <v>1610</v>
      </c>
      <c r="C15" s="1405">
        <f>SUM(C17:C19)</f>
        <v>4056.7956932725729</v>
      </c>
      <c r="D15" s="1406"/>
      <c r="E15" s="1406"/>
      <c r="F15" s="1522">
        <f>SUM(F17:F19)</f>
        <v>0</v>
      </c>
      <c r="G15" s="1522">
        <f t="shared" ref="G15:R15" si="1">SUM(G17:G19)</f>
        <v>0</v>
      </c>
      <c r="H15" s="1522">
        <f t="shared" si="1"/>
        <v>0</v>
      </c>
      <c r="I15" s="1522">
        <f t="shared" si="1"/>
        <v>207928.12479856901</v>
      </c>
      <c r="J15" s="1522">
        <f t="shared" si="1"/>
        <v>0</v>
      </c>
      <c r="K15" s="1522">
        <f t="shared" si="1"/>
        <v>0</v>
      </c>
      <c r="L15" s="1522">
        <f t="shared" si="1"/>
        <v>0</v>
      </c>
      <c r="M15" s="1522">
        <f t="shared" si="1"/>
        <v>0</v>
      </c>
      <c r="N15" s="1522">
        <f t="shared" si="1"/>
        <v>4225432.1012167223</v>
      </c>
      <c r="O15" s="1522">
        <f t="shared" si="1"/>
        <v>0</v>
      </c>
      <c r="P15" s="1522">
        <f t="shared" si="1"/>
        <v>0</v>
      </c>
      <c r="Q15" s="1522">
        <f t="shared" si="1"/>
        <v>1456352.7456100106</v>
      </c>
      <c r="R15" s="1522">
        <f t="shared" si="1"/>
        <v>5889712.9716253011</v>
      </c>
      <c r="S15" s="1406"/>
      <c r="T15" s="1120"/>
      <c r="U15" s="1492">
        <f>R15/(C15*1000)</f>
        <v>1.4518140465866383</v>
      </c>
      <c r="V15" s="1403"/>
      <c r="W15" s="1404"/>
      <c r="X15" s="1498">
        <f>SUM(X17:X19)</f>
        <v>0.1154381755565549</v>
      </c>
      <c r="Y15" s="1409"/>
      <c r="Z15" s="1410"/>
    </row>
    <row r="16" spans="1:27" ht="18" customHeight="1">
      <c r="B16" s="1413" t="s">
        <v>1667</v>
      </c>
      <c r="C16" s="1406"/>
      <c r="D16" s="1406"/>
      <c r="E16" s="1406"/>
      <c r="F16" s="1523"/>
      <c r="G16" s="1523"/>
      <c r="H16" s="1523"/>
      <c r="I16" s="1524"/>
      <c r="J16" s="1523"/>
      <c r="K16" s="1523"/>
      <c r="L16" s="1523"/>
      <c r="M16" s="1523"/>
      <c r="N16" s="1523"/>
      <c r="O16" s="1523"/>
      <c r="P16" s="1523"/>
      <c r="Q16" s="1523"/>
      <c r="R16" s="1525"/>
      <c r="S16" s="1406"/>
      <c r="T16" s="1120"/>
      <c r="U16" s="1402"/>
      <c r="V16" s="1403"/>
      <c r="W16" s="1404"/>
      <c r="X16" s="1411"/>
      <c r="Y16" s="1409"/>
      <c r="Z16" s="1410"/>
    </row>
    <row r="17" spans="2:26" ht="18" customHeight="1">
      <c r="B17" s="1414" t="s">
        <v>1491</v>
      </c>
      <c r="C17" s="1255">
        <f>Table3.A!C17</f>
        <v>832.52759267704232</v>
      </c>
      <c r="D17" s="1317">
        <f>AVERAGE('3B Gestión Estiércol N2O Dir'!H15:H17)</f>
        <v>68.787077850609464</v>
      </c>
      <c r="E17" s="2057">
        <f>AVERAGE('3B Gestión Estiércol N2O Dir'!G15:G17)</f>
        <v>483.22499368183662</v>
      </c>
      <c r="F17" s="1526">
        <v>0</v>
      </c>
      <c r="G17" s="1526">
        <v>0</v>
      </c>
      <c r="H17" s="1526">
        <v>0</v>
      </c>
      <c r="I17" s="1526">
        <f>SUM('3B Gestión Estiércol N2O Dir'!Z15:Z17)</f>
        <v>207928.12479856901</v>
      </c>
      <c r="J17" s="1526">
        <v>0</v>
      </c>
      <c r="K17" s="1526">
        <v>0</v>
      </c>
      <c r="L17" s="1526">
        <v>0</v>
      </c>
      <c r="M17" s="1526">
        <v>0</v>
      </c>
      <c r="N17" s="1526">
        <f>SUM('3B Gestión Estiércol N2O Dir'!AA15:AA17)</f>
        <v>2454241.3520635809</v>
      </c>
      <c r="O17" s="1526">
        <v>0</v>
      </c>
      <c r="P17" s="1526">
        <v>0</v>
      </c>
      <c r="Q17" s="1526">
        <f>SUM('3B Gestión Estiércol N2O Dir'!AD15:AD17)</f>
        <v>1456352.7456100106</v>
      </c>
      <c r="R17" s="1527">
        <f>SUM(F17:Q17)</f>
        <v>4118522.2224721601</v>
      </c>
      <c r="S17" s="1415"/>
      <c r="T17" s="1416"/>
      <c r="U17" s="1492">
        <f>R17/(C17*1000)</f>
        <v>4.9470098753469598</v>
      </c>
      <c r="V17" s="1417"/>
      <c r="W17" s="1418"/>
      <c r="X17" s="1493">
        <f>SUM('3B Gestión Estiércol N2O Dir'!U15:U17)/1000000</f>
        <v>8.7605178069862691E-2</v>
      </c>
      <c r="Y17" s="1419"/>
      <c r="Z17" s="1420"/>
    </row>
    <row r="18" spans="2:26" ht="18" customHeight="1">
      <c r="B18" s="1414" t="s">
        <v>1492</v>
      </c>
      <c r="C18" s="1255">
        <f>Table3.A!C18</f>
        <v>982.98407351386663</v>
      </c>
      <c r="D18" s="1317">
        <f>AVERAGE('3B Gestión Estiércol N2O Dir'!H18:H23)</f>
        <v>48.394377085434066</v>
      </c>
      <c r="E18" s="2057">
        <f>AVERAGE('3B Gestión Estiércol N2O Dir'!G18:G23)</f>
        <v>457.19770510565962</v>
      </c>
      <c r="F18" s="1526">
        <v>0</v>
      </c>
      <c r="G18" s="1526">
        <v>0</v>
      </c>
      <c r="H18" s="1526">
        <v>0</v>
      </c>
      <c r="I18" s="1526">
        <f>SUM('3B Gestión Estiércol N2O Dir'!Z18:Z23)</f>
        <v>0</v>
      </c>
      <c r="J18" s="1526">
        <v>0</v>
      </c>
      <c r="K18" s="1526">
        <v>0</v>
      </c>
      <c r="L18" s="1526">
        <v>0</v>
      </c>
      <c r="M18" s="1526">
        <v>0</v>
      </c>
      <c r="N18" s="1526">
        <f>SUM('3B Gestión Estiércol N2O Dir'!AA18:AA23)</f>
        <v>890365.29616449343</v>
      </c>
      <c r="O18" s="1526">
        <v>0</v>
      </c>
      <c r="P18" s="1526">
        <v>0</v>
      </c>
      <c r="Q18" s="1526">
        <f>SUM('3B Gestión Estiércol N2O Dir'!AD18:AD23)</f>
        <v>0</v>
      </c>
      <c r="R18" s="1527">
        <f t="shared" ref="R18:R19" si="2">SUM(F18:Q18)</f>
        <v>890365.29616449343</v>
      </c>
      <c r="S18" s="1415"/>
      <c r="T18" s="1416"/>
      <c r="U18" s="1492">
        <f t="shared" ref="U18:U19" si="3">R18/(C18*1000)</f>
        <v>0.90577794712554249</v>
      </c>
      <c r="V18" s="1417"/>
      <c r="W18" s="1418"/>
      <c r="X18" s="1493">
        <f>SUM('3B Gestión Estiércol N2O Dir'!U18:U23)/1000000</f>
        <v>1.3991454654013471E-2</v>
      </c>
      <c r="Y18" s="1419"/>
      <c r="Z18" s="1420"/>
    </row>
    <row r="19" spans="2:26" ht="18" customHeight="1">
      <c r="B19" s="1414" t="s">
        <v>1493</v>
      </c>
      <c r="C19" s="1255">
        <f>Table3.A!C19</f>
        <v>2241.2840270816637</v>
      </c>
      <c r="D19" s="1317">
        <f>AVERAGE('3B Gestión Estiércol N2O Dir'!H24:H26)</f>
        <v>18.153786775562676</v>
      </c>
      <c r="E19" s="2057">
        <f>AVERAGE('3B Gestión Estiércol N2O Dir'!G24:G26)</f>
        <v>171.50483491320426</v>
      </c>
      <c r="F19" s="1526">
        <v>0</v>
      </c>
      <c r="G19" s="1526">
        <v>0</v>
      </c>
      <c r="H19" s="1526">
        <v>0</v>
      </c>
      <c r="I19" s="1526">
        <f>SUM('3B Gestión Estiércol N2O Dir'!Z24:Z26)</f>
        <v>0</v>
      </c>
      <c r="J19" s="1526">
        <v>0</v>
      </c>
      <c r="K19" s="1526">
        <v>0</v>
      </c>
      <c r="L19" s="1526">
        <v>0</v>
      </c>
      <c r="M19" s="1526">
        <v>0</v>
      </c>
      <c r="N19" s="1526">
        <f>SUM('3B Gestión Estiércol N2O Dir'!AA24:AA26)</f>
        <v>880825.45298864751</v>
      </c>
      <c r="O19" s="1526">
        <v>0</v>
      </c>
      <c r="P19" s="1526">
        <v>0</v>
      </c>
      <c r="Q19" s="1526">
        <f>SUM('3B Gestión Estiércol N2O Dir'!AD24:AD26)</f>
        <v>0</v>
      </c>
      <c r="R19" s="1527">
        <f t="shared" si="2"/>
        <v>880825.45298864751</v>
      </c>
      <c r="S19" s="1415"/>
      <c r="T19" s="1416"/>
      <c r="U19" s="1492">
        <f t="shared" si="3"/>
        <v>0.39300037047761177</v>
      </c>
      <c r="V19" s="1417"/>
      <c r="W19" s="1418"/>
      <c r="X19" s="1494">
        <f>SUM('3B Gestión Estiércol N2O Dir'!U24:U26)/1000000</f>
        <v>1.3841542832678745E-2</v>
      </c>
      <c r="Y19" s="1419"/>
      <c r="Z19" s="1420"/>
    </row>
    <row r="20" spans="2:26" ht="18" customHeight="1">
      <c r="B20" s="1421" t="s">
        <v>1668</v>
      </c>
      <c r="C20" s="1405"/>
      <c r="D20" s="1397"/>
      <c r="E20" s="1397"/>
      <c r="F20" s="1993" t="s">
        <v>41</v>
      </c>
      <c r="G20" s="1993" t="s">
        <v>41</v>
      </c>
      <c r="H20" s="1993" t="s">
        <v>41</v>
      </c>
      <c r="I20" s="1993" t="s">
        <v>41</v>
      </c>
      <c r="J20" s="1993" t="s">
        <v>41</v>
      </c>
      <c r="K20" s="1993" t="s">
        <v>41</v>
      </c>
      <c r="L20" s="1993" t="s">
        <v>41</v>
      </c>
      <c r="M20" s="1993" t="s">
        <v>41</v>
      </c>
      <c r="N20" s="1993" t="s">
        <v>41</v>
      </c>
      <c r="O20" s="1993" t="s">
        <v>41</v>
      </c>
      <c r="P20" s="1993" t="s">
        <v>41</v>
      </c>
      <c r="Q20" s="1993" t="s">
        <v>41</v>
      </c>
      <c r="R20" s="1993" t="s">
        <v>41</v>
      </c>
      <c r="S20" s="1406"/>
      <c r="T20" s="1120"/>
      <c r="U20" s="1407" t="s">
        <v>41</v>
      </c>
      <c r="V20" s="1403"/>
      <c r="W20" s="1404"/>
      <c r="X20" s="1405" t="s">
        <v>41</v>
      </c>
      <c r="Y20" s="1409"/>
      <c r="Z20" s="1410"/>
    </row>
    <row r="21" spans="2:26" ht="18" customHeight="1">
      <c r="B21" s="1422"/>
      <c r="C21" s="1423"/>
      <c r="D21" s="1274"/>
      <c r="E21" s="1405"/>
      <c r="F21" s="1520"/>
      <c r="G21" s="1520"/>
      <c r="H21" s="1520"/>
      <c r="I21" s="1521"/>
      <c r="J21" s="1520"/>
      <c r="K21" s="1520"/>
      <c r="L21" s="1520"/>
      <c r="M21" s="1520"/>
      <c r="N21" s="1520"/>
      <c r="O21" s="1520"/>
      <c r="P21" s="1520"/>
      <c r="Q21" s="1520"/>
      <c r="R21" s="1522"/>
      <c r="S21" s="1406"/>
      <c r="T21" s="1120"/>
      <c r="U21" s="1407"/>
      <c r="V21" s="1403"/>
      <c r="W21" s="1404"/>
      <c r="X21" s="1408"/>
      <c r="Y21" s="1409"/>
      <c r="Z21" s="1410"/>
    </row>
    <row r="22" spans="2:26" ht="18" customHeight="1">
      <c r="B22" s="1424" t="s">
        <v>1613</v>
      </c>
      <c r="C22" s="1405">
        <f>'Table3.B(a)'!C22</f>
        <v>498.95201288858698</v>
      </c>
      <c r="D22" s="1397"/>
      <c r="E22" s="1397"/>
      <c r="F22" s="1993" t="s">
        <v>41</v>
      </c>
      <c r="G22" s="1993" t="s">
        <v>41</v>
      </c>
      <c r="H22" s="1993">
        <v>0</v>
      </c>
      <c r="I22" s="1994">
        <f>'3B Gestión Estiércol N2O Dir'!Z28</f>
        <v>307122.92620538926</v>
      </c>
      <c r="J22" s="1993" t="s">
        <v>41</v>
      </c>
      <c r="K22" s="1993" t="s">
        <v>41</v>
      </c>
      <c r="L22" s="1993" t="s">
        <v>41</v>
      </c>
      <c r="M22" s="1993" t="s">
        <v>41</v>
      </c>
      <c r="N22" s="1995">
        <f>'3B Gestión Estiércol N2O Dir'!AA28</f>
        <v>54198.163448009866</v>
      </c>
      <c r="O22" s="1993" t="s">
        <v>41</v>
      </c>
      <c r="P22" s="1993" t="s">
        <v>41</v>
      </c>
      <c r="Q22" s="1993">
        <f>'3B Gestión Estiércol N2O Dir'!AD28</f>
        <v>0</v>
      </c>
      <c r="R22" s="1527">
        <f t="shared" ref="R22:R23" si="4">SUM(F22:Q22)</f>
        <v>361321.08965339913</v>
      </c>
      <c r="S22" s="1406"/>
      <c r="T22" s="1120"/>
      <c r="U22" s="1492">
        <f t="shared" ref="U22" si="5">R22/(C22*1000)</f>
        <v>0.72416000000000003</v>
      </c>
      <c r="V22" s="1403"/>
      <c r="W22" s="1404"/>
      <c r="X22" s="1499">
        <f>'3B Gestión Estiércol N2O Dir'!U28/1000000</f>
        <v>5.6779028374105579E-3</v>
      </c>
      <c r="Y22" s="1409"/>
      <c r="Z22" s="1410"/>
    </row>
    <row r="23" spans="2:26" ht="18" customHeight="1">
      <c r="B23" s="1412" t="s">
        <v>1615</v>
      </c>
      <c r="C23" s="1405"/>
      <c r="D23" s="1397"/>
      <c r="E23" s="1397"/>
      <c r="F23" s="1993" t="s">
        <v>41</v>
      </c>
      <c r="G23" s="1993" t="s">
        <v>41</v>
      </c>
      <c r="H23" s="1993">
        <f>H22</f>
        <v>0</v>
      </c>
      <c r="I23" s="1994">
        <f>I22</f>
        <v>307122.92620538926</v>
      </c>
      <c r="J23" s="1993" t="s">
        <v>41</v>
      </c>
      <c r="K23" s="1993" t="s">
        <v>41</v>
      </c>
      <c r="L23" s="1993" t="s">
        <v>41</v>
      </c>
      <c r="M23" s="1993" t="s">
        <v>41</v>
      </c>
      <c r="N23" s="1995">
        <f>N22</f>
        <v>54198.163448009866</v>
      </c>
      <c r="O23" s="1993" t="s">
        <v>41</v>
      </c>
      <c r="P23" s="1993" t="s">
        <v>41</v>
      </c>
      <c r="Q23" s="1993">
        <f>Q22</f>
        <v>0</v>
      </c>
      <c r="R23" s="1527">
        <f t="shared" si="4"/>
        <v>361321.08965339913</v>
      </c>
      <c r="S23" s="1406"/>
      <c r="T23" s="1120"/>
      <c r="U23" s="1492"/>
      <c r="V23" s="1403"/>
      <c r="W23" s="1404"/>
      <c r="X23" s="1405"/>
      <c r="Y23" s="1409"/>
      <c r="Z23" s="1410"/>
    </row>
    <row r="24" spans="2:26" ht="18" customHeight="1">
      <c r="B24" s="1422"/>
      <c r="C24" s="1423"/>
      <c r="D24" s="1274"/>
      <c r="E24" s="1405"/>
      <c r="F24" s="1520"/>
      <c r="G24" s="1520"/>
      <c r="H24" s="1520"/>
      <c r="I24" s="1521"/>
      <c r="J24" s="1520"/>
      <c r="K24" s="1520"/>
      <c r="L24" s="1520"/>
      <c r="M24" s="1520"/>
      <c r="N24" s="1520"/>
      <c r="O24" s="1520"/>
      <c r="P24" s="1520"/>
      <c r="Q24" s="1520"/>
      <c r="R24" s="1522"/>
      <c r="S24" s="1406"/>
      <c r="T24" s="1120"/>
      <c r="U24" s="1407"/>
      <c r="V24" s="1403"/>
      <c r="W24" s="1404"/>
      <c r="X24" s="1408"/>
      <c r="Y24" s="1409"/>
      <c r="Z24" s="1410"/>
    </row>
    <row r="25" spans="2:26" ht="18" customHeight="1">
      <c r="B25" s="1424" t="s">
        <v>1616</v>
      </c>
      <c r="C25" s="1405">
        <f>'Table3.B(a)'!C25</f>
        <v>1682.6620402921853</v>
      </c>
      <c r="D25" s="1397"/>
      <c r="E25" s="1397"/>
      <c r="F25" s="1997" t="s">
        <v>41</v>
      </c>
      <c r="G25" s="1997" t="s">
        <v>41</v>
      </c>
      <c r="H25" s="1522">
        <v>0</v>
      </c>
      <c r="I25" s="1528">
        <f>'3B Gestión Estiércol N2O Dir'!Z33</f>
        <v>3641730.7672880674</v>
      </c>
      <c r="J25" s="1993" t="s">
        <v>41</v>
      </c>
      <c r="K25" s="1993" t="s">
        <v>41</v>
      </c>
      <c r="L25" s="1993" t="s">
        <v>41</v>
      </c>
      <c r="M25" s="1993" t="s">
        <v>41</v>
      </c>
      <c r="N25" s="1497">
        <f>'3B Gestión Estiércol N2O Dir'!AA33</f>
        <v>1213910.2557626893</v>
      </c>
      <c r="O25" s="1993" t="s">
        <v>41</v>
      </c>
      <c r="P25" s="1993" t="s">
        <v>41</v>
      </c>
      <c r="Q25" s="1522">
        <f>'3B Gestión Estiércol N2O Dir'!AD33</f>
        <v>9711282.0461015143</v>
      </c>
      <c r="R25" s="1527">
        <f t="shared" ref="R25:R26" si="6">SUM(F25:Q25)</f>
        <v>14566923.069152271</v>
      </c>
      <c r="S25" s="1406"/>
      <c r="T25" s="1120"/>
      <c r="U25" s="1492">
        <f t="shared" ref="U25" si="7">R25/(C25*1000)</f>
        <v>8.6570700000000027</v>
      </c>
      <c r="V25" s="1403"/>
      <c r="W25" s="1404"/>
      <c r="X25" s="1499">
        <f>'3B Gestión Estiércol N2O Dir'!U33/1000000</f>
        <v>0.38151465181113092</v>
      </c>
      <c r="Y25" s="1409"/>
      <c r="Z25" s="1410"/>
    </row>
    <row r="26" spans="2:26" ht="18" customHeight="1">
      <c r="B26" s="1412" t="s">
        <v>1617</v>
      </c>
      <c r="C26" s="1405"/>
      <c r="D26" s="1397"/>
      <c r="E26" s="1397"/>
      <c r="F26" s="1997" t="s">
        <v>41</v>
      </c>
      <c r="G26" s="1997" t="s">
        <v>41</v>
      </c>
      <c r="H26" s="1522">
        <v>0</v>
      </c>
      <c r="I26" s="1528">
        <f>I25</f>
        <v>3641730.7672880674</v>
      </c>
      <c r="J26" s="1993" t="s">
        <v>41</v>
      </c>
      <c r="K26" s="1993" t="s">
        <v>41</v>
      </c>
      <c r="L26" s="1993" t="s">
        <v>41</v>
      </c>
      <c r="M26" s="1993" t="s">
        <v>41</v>
      </c>
      <c r="N26" s="1522">
        <f>N25</f>
        <v>1213910.2557626893</v>
      </c>
      <c r="O26" s="1993" t="s">
        <v>41</v>
      </c>
      <c r="P26" s="1993" t="s">
        <v>41</v>
      </c>
      <c r="Q26" s="1522">
        <f>Q25</f>
        <v>9711282.0461015143</v>
      </c>
      <c r="R26" s="1527">
        <f t="shared" si="6"/>
        <v>14566923.069152271</v>
      </c>
      <c r="S26" s="1406"/>
      <c r="T26" s="1120"/>
      <c r="U26" s="1407"/>
      <c r="V26" s="1403"/>
      <c r="W26" s="1404"/>
      <c r="X26" s="1405"/>
      <c r="Y26" s="1409"/>
      <c r="Z26" s="1410"/>
    </row>
    <row r="27" spans="2:26" ht="18" customHeight="1">
      <c r="B27" s="1422"/>
      <c r="C27" s="1274"/>
      <c r="D27" s="1274"/>
      <c r="E27" s="1405"/>
      <c r="F27" s="1520"/>
      <c r="G27" s="1520"/>
      <c r="H27" s="1520"/>
      <c r="I27" s="1521"/>
      <c r="J27" s="1520"/>
      <c r="K27" s="1520"/>
      <c r="L27" s="1520"/>
      <c r="M27" s="1520"/>
      <c r="N27" s="1520"/>
      <c r="O27" s="1520"/>
      <c r="P27" s="1520"/>
      <c r="Q27" s="1520"/>
      <c r="R27" s="1522"/>
      <c r="S27" s="1406"/>
      <c r="T27" s="1120"/>
      <c r="U27" s="1407"/>
      <c r="V27" s="1403"/>
      <c r="W27" s="1404"/>
      <c r="X27" s="1408"/>
      <c r="Y27" s="1409"/>
      <c r="Z27" s="1410"/>
    </row>
    <row r="28" spans="2:26" ht="18" customHeight="1">
      <c r="B28" s="1424" t="s">
        <v>1669</v>
      </c>
      <c r="C28" s="1496">
        <f>SUM(C30:C36)</f>
        <v>44438.669688959046</v>
      </c>
      <c r="D28" s="1397"/>
      <c r="E28" s="1397"/>
      <c r="F28" s="1997" t="s">
        <v>41</v>
      </c>
      <c r="G28" s="1997" t="s">
        <v>41</v>
      </c>
      <c r="H28" s="1522"/>
      <c r="I28" s="1497">
        <f>SUM(I30:I36)</f>
        <v>8197102.7259590961</v>
      </c>
      <c r="J28" s="1497">
        <f t="shared" ref="J28:Q28" si="8">SUM(J30:J36)</f>
        <v>0</v>
      </c>
      <c r="K28" s="1497">
        <f t="shared" si="8"/>
        <v>0</v>
      </c>
      <c r="L28" s="1497">
        <f t="shared" si="8"/>
        <v>0</v>
      </c>
      <c r="M28" s="1497">
        <f t="shared" si="8"/>
        <v>0</v>
      </c>
      <c r="N28" s="1497">
        <f t="shared" si="8"/>
        <v>417433.37187425228</v>
      </c>
      <c r="O28" s="1497">
        <f t="shared" si="8"/>
        <v>0</v>
      </c>
      <c r="P28" s="1497">
        <f t="shared" si="8"/>
        <v>0</v>
      </c>
      <c r="Q28" s="1497">
        <f t="shared" si="8"/>
        <v>12338523.779233506</v>
      </c>
      <c r="R28" s="1527">
        <f t="shared" ref="R28" si="9">SUM(F28:Q28)</f>
        <v>20953059.877066854</v>
      </c>
      <c r="S28" s="1406"/>
      <c r="T28" s="1120"/>
      <c r="U28" s="1492">
        <f t="shared" ref="U28" si="10">R28/(C28*1000)</f>
        <v>0.47150511083532098</v>
      </c>
      <c r="V28" s="1403"/>
      <c r="W28" s="1404"/>
      <c r="X28" s="1499">
        <f>SUM(X30:X36)</f>
        <v>0.5231534574561485</v>
      </c>
      <c r="Y28" s="1409"/>
      <c r="Z28" s="1410"/>
    </row>
    <row r="29" spans="2:26" ht="18" customHeight="1">
      <c r="B29" s="1250" t="s">
        <v>1667</v>
      </c>
      <c r="C29" s="1280"/>
      <c r="D29" s="1121"/>
      <c r="E29" s="1121"/>
      <c r="F29" s="1529"/>
      <c r="G29" s="1529"/>
      <c r="H29" s="1529"/>
      <c r="I29" s="1530"/>
      <c r="J29" s="1529"/>
      <c r="K29" s="1529"/>
      <c r="L29" s="1529"/>
      <c r="M29" s="1529"/>
      <c r="N29" s="1529"/>
      <c r="O29" s="1529"/>
      <c r="P29" s="1529"/>
      <c r="Q29" s="1529"/>
      <c r="R29" s="1529"/>
      <c r="S29" s="1121"/>
      <c r="T29" s="1121"/>
      <c r="U29" s="1121"/>
      <c r="V29" s="1121"/>
      <c r="W29" s="1121"/>
      <c r="X29" s="1121"/>
      <c r="Y29" s="1121"/>
      <c r="Z29" s="1122"/>
    </row>
    <row r="30" spans="2:26" ht="18" customHeight="1">
      <c r="B30" s="1412" t="s">
        <v>1620</v>
      </c>
      <c r="C30" s="1495">
        <f>'Table3.B(a)'!C30</f>
        <v>3.839</v>
      </c>
      <c r="D30" s="1274"/>
      <c r="E30" s="2058">
        <f>'3B Gestión Estiércol N2O Dir'!G27</f>
        <v>315</v>
      </c>
      <c r="F30" s="1520" t="s">
        <v>41</v>
      </c>
      <c r="G30" s="1520" t="s">
        <v>41</v>
      </c>
      <c r="H30" s="1520" t="s">
        <v>41</v>
      </c>
      <c r="I30" s="1521">
        <f>'3B Gestión Estiércol N2O Dir'!Z27</f>
        <v>3619.3900050000002</v>
      </c>
      <c r="J30" s="1520" t="s">
        <v>41</v>
      </c>
      <c r="K30" s="1520" t="s">
        <v>41</v>
      </c>
      <c r="L30" s="1520" t="s">
        <v>41</v>
      </c>
      <c r="M30" s="1520" t="s">
        <v>41</v>
      </c>
      <c r="N30" s="1520" t="s">
        <v>41</v>
      </c>
      <c r="O30" s="1520" t="s">
        <v>41</v>
      </c>
      <c r="P30" s="1520" t="s">
        <v>41</v>
      </c>
      <c r="Q30" s="1520">
        <f>'3B Gestión Estiércol N2O Dir'!AD27</f>
        <v>9048.475012500001</v>
      </c>
      <c r="R30" s="1527">
        <f>SUM(F30:Q30)</f>
        <v>12667.8650175</v>
      </c>
      <c r="S30" s="1406"/>
      <c r="T30" s="1120"/>
      <c r="U30" s="1492">
        <f t="shared" ref="U30" si="11">R30/(C30*1000)</f>
        <v>3.2997825000000001</v>
      </c>
      <c r="V30" s="1403"/>
      <c r="W30" s="1404"/>
      <c r="X30" s="1500">
        <f>'3B Gestión Estiércol N2O Dir'!U27/1000000</f>
        <v>3.4125677189999999E-4</v>
      </c>
      <c r="Y30" s="1409"/>
      <c r="Z30" s="1410"/>
    </row>
    <row r="31" spans="2:26" ht="18" customHeight="1">
      <c r="B31" s="1412" t="s">
        <v>1621</v>
      </c>
      <c r="C31" s="1495">
        <f>'Table3.B(a)'!C31</f>
        <v>20.94978325706191</v>
      </c>
      <c r="D31" s="1274"/>
      <c r="E31" s="2058">
        <f>'3B Gestión Estiércol N2O Dir'!G30</f>
        <v>65</v>
      </c>
      <c r="F31" s="1520" t="s">
        <v>41</v>
      </c>
      <c r="G31" s="1520" t="s">
        <v>41</v>
      </c>
      <c r="H31" s="1520" t="s">
        <v>41</v>
      </c>
      <c r="I31" s="1521">
        <f>'3B Gestión Estiércol N2O Dir'!Z30</f>
        <v>38868.028127910678</v>
      </c>
      <c r="J31" s="1520" t="s">
        <v>41</v>
      </c>
      <c r="K31" s="1520" t="s">
        <v>41</v>
      </c>
      <c r="L31" s="1520" t="s">
        <v>41</v>
      </c>
      <c r="M31" s="1520" t="s">
        <v>41</v>
      </c>
      <c r="N31" s="1520">
        <f>'3B Gestión Estiércol N2O Dir'!AA30</f>
        <v>6859.0637872783545</v>
      </c>
      <c r="O31" s="1520" t="s">
        <v>41</v>
      </c>
      <c r="P31" s="1520" t="s">
        <v>41</v>
      </c>
      <c r="Q31" s="1520" t="s">
        <v>41</v>
      </c>
      <c r="R31" s="1527">
        <f t="shared" ref="R31:R36" si="12">SUM(F31:Q31)</f>
        <v>45727.091915189034</v>
      </c>
      <c r="S31" s="1406"/>
      <c r="T31" s="1120"/>
      <c r="U31" s="1492">
        <f t="shared" ref="U31:U36" si="13">R31/(C31*1000)</f>
        <v>2.1827000000000001</v>
      </c>
      <c r="V31" s="1403"/>
      <c r="W31" s="1404"/>
      <c r="X31" s="1500">
        <f>'3B Gestión Estiércol N2O Dir'!U30/1000000</f>
        <v>7.1856858723868481E-4</v>
      </c>
      <c r="Y31" s="1409"/>
      <c r="Z31" s="1410"/>
    </row>
    <row r="32" spans="2:26" ht="18" customHeight="1">
      <c r="B32" s="1412" t="s">
        <v>1622</v>
      </c>
      <c r="C32" s="1495"/>
      <c r="D32" s="1274"/>
      <c r="E32" s="2000" t="s">
        <v>41</v>
      </c>
      <c r="F32" s="1520" t="s">
        <v>2212</v>
      </c>
      <c r="G32" s="1520" t="s">
        <v>2212</v>
      </c>
      <c r="H32" s="1520" t="s">
        <v>2212</v>
      </c>
      <c r="I32" s="1520" t="s">
        <v>2212</v>
      </c>
      <c r="J32" s="1520" t="s">
        <v>2212</v>
      </c>
      <c r="K32" s="1520" t="s">
        <v>2212</v>
      </c>
      <c r="L32" s="1520" t="s">
        <v>2212</v>
      </c>
      <c r="M32" s="1520" t="s">
        <v>2212</v>
      </c>
      <c r="N32" s="1520" t="s">
        <v>2212</v>
      </c>
      <c r="O32" s="1520" t="s">
        <v>2212</v>
      </c>
      <c r="P32" s="1520" t="s">
        <v>2212</v>
      </c>
      <c r="Q32" s="1520" t="s">
        <v>2212</v>
      </c>
      <c r="R32" s="1527" t="s">
        <v>41</v>
      </c>
      <c r="S32" s="1406"/>
      <c r="T32" s="1120"/>
      <c r="U32" s="1492" t="s">
        <v>41</v>
      </c>
      <c r="V32" s="1403"/>
      <c r="W32" s="1404"/>
      <c r="X32" s="1500" t="s">
        <v>2212</v>
      </c>
      <c r="Y32" s="1409"/>
      <c r="Z32" s="1410"/>
    </row>
    <row r="33" spans="2:26" ht="18" customHeight="1">
      <c r="B33" s="1412" t="s">
        <v>1623</v>
      </c>
      <c r="C33" s="1495">
        <f>'Table3.B(a)'!C33</f>
        <v>21.745306881266913</v>
      </c>
      <c r="D33" s="1274"/>
      <c r="E33" s="2058">
        <f>'3B Gestión Estiércol N2O Dir'!G29</f>
        <v>24</v>
      </c>
      <c r="F33" s="1520" t="s">
        <v>41</v>
      </c>
      <c r="G33" s="1520" t="s">
        <v>41</v>
      </c>
      <c r="H33" s="1520" t="s">
        <v>41</v>
      </c>
      <c r="I33" s="1521">
        <f>'3B Gestión Estiércol N2O Dir'!Z29</f>
        <v>11010.257742578115</v>
      </c>
      <c r="J33" s="1520" t="s">
        <v>41</v>
      </c>
      <c r="K33" s="1520" t="s">
        <v>41</v>
      </c>
      <c r="L33" s="1520" t="s">
        <v>41</v>
      </c>
      <c r="M33" s="1520" t="s">
        <v>41</v>
      </c>
      <c r="N33" s="1520">
        <f>'3B Gestión Estiércol N2O Dir'!AA29</f>
        <v>1942.9866604549611</v>
      </c>
      <c r="O33" s="1520" t="s">
        <v>41</v>
      </c>
      <c r="P33" s="1520" t="s">
        <v>41</v>
      </c>
      <c r="Q33" s="1520" t="s">
        <v>41</v>
      </c>
      <c r="R33" s="1527">
        <f t="shared" si="12"/>
        <v>12953.244403033075</v>
      </c>
      <c r="S33" s="1406"/>
      <c r="T33" s="1120"/>
      <c r="U33" s="1492">
        <f t="shared" si="13"/>
        <v>0.5956800000000001</v>
      </c>
      <c r="V33" s="1403"/>
      <c r="W33" s="1404"/>
      <c r="X33" s="1500">
        <f>'3B Gestión Estiércol N2O Dir'!U29/1000000</f>
        <v>2.0355098347623406E-4</v>
      </c>
      <c r="Y33" s="1409"/>
      <c r="Z33" s="1410"/>
    </row>
    <row r="34" spans="2:26" ht="18" customHeight="1">
      <c r="B34" s="1412" t="s">
        <v>1624</v>
      </c>
      <c r="C34" s="1495">
        <f>'Table3.B(a)'!C34</f>
        <v>260.47901686208553</v>
      </c>
      <c r="D34" s="1274"/>
      <c r="E34" s="2058">
        <f>'3B Gestión Estiércol N2O Dir'!G31</f>
        <v>238</v>
      </c>
      <c r="F34" s="1520" t="s">
        <v>41</v>
      </c>
      <c r="G34" s="1520" t="s">
        <v>41</v>
      </c>
      <c r="H34" s="1520" t="s">
        <v>41</v>
      </c>
      <c r="I34" s="1521">
        <f>'3B Gestión Estiércol N2O Dir'!Z31</f>
        <v>1769494.9136340928</v>
      </c>
      <c r="J34" s="1520" t="s">
        <v>41</v>
      </c>
      <c r="K34" s="1520" t="s">
        <v>41</v>
      </c>
      <c r="L34" s="1520" t="s">
        <v>41</v>
      </c>
      <c r="M34" s="1520" t="s">
        <v>41</v>
      </c>
      <c r="N34" s="1520">
        <f>'3B Gestión Estiércol N2O Dir'!AA31</f>
        <v>312263.80828836927</v>
      </c>
      <c r="O34" s="1520" t="s">
        <v>41</v>
      </c>
      <c r="P34" s="1520" t="s">
        <v>41</v>
      </c>
      <c r="Q34" s="1520" t="s">
        <v>41</v>
      </c>
      <c r="R34" s="1527">
        <f t="shared" si="12"/>
        <v>2081758.7219224621</v>
      </c>
      <c r="S34" s="1406"/>
      <c r="T34" s="1120"/>
      <c r="U34" s="1492">
        <f t="shared" si="13"/>
        <v>7.9920400000000003</v>
      </c>
      <c r="V34" s="1403"/>
      <c r="W34" s="1404"/>
      <c r="X34" s="1500">
        <f>'3B Gestión Estiércol N2O Dir'!U31/1000000</f>
        <v>3.2713351344495836E-2</v>
      </c>
      <c r="Y34" s="1409"/>
      <c r="Z34" s="1410"/>
    </row>
    <row r="35" spans="2:26" ht="18" customHeight="1">
      <c r="B35" s="1412" t="s">
        <v>1670</v>
      </c>
      <c r="C35" s="1495">
        <f>'Table3.B(a)'!C35</f>
        <v>147.16866440364331</v>
      </c>
      <c r="D35" s="1274"/>
      <c r="E35" s="2058">
        <f>'3B Gestión Estiércol N2O Dir'!G32</f>
        <v>130</v>
      </c>
      <c r="F35" s="1520" t="s">
        <v>41</v>
      </c>
      <c r="G35" s="1520" t="s">
        <v>41</v>
      </c>
      <c r="H35" s="1520" t="s">
        <v>41</v>
      </c>
      <c r="I35" s="1521">
        <f>'3B Gestión Estiércol N2O Dir'!Z32</f>
        <v>546082.57444951485</v>
      </c>
      <c r="J35" s="1520" t="s">
        <v>41</v>
      </c>
      <c r="K35" s="1520" t="s">
        <v>41</v>
      </c>
      <c r="L35" s="1520" t="s">
        <v>41</v>
      </c>
      <c r="M35" s="1520" t="s">
        <v>41</v>
      </c>
      <c r="N35" s="1520">
        <f>'3B Gestión Estiércol N2O Dir'!AA32</f>
        <v>96367.513138149676</v>
      </c>
      <c r="O35" s="1520" t="s">
        <v>41</v>
      </c>
      <c r="P35" s="1520" t="s">
        <v>41</v>
      </c>
      <c r="Q35" s="1520" t="s">
        <v>41</v>
      </c>
      <c r="R35" s="1527">
        <f t="shared" si="12"/>
        <v>642450.08758766449</v>
      </c>
      <c r="S35" s="1406"/>
      <c r="T35" s="1120"/>
      <c r="U35" s="1492">
        <f t="shared" si="13"/>
        <v>4.3654000000000002</v>
      </c>
      <c r="V35" s="1403"/>
      <c r="W35" s="1404"/>
      <c r="X35" s="1500">
        <f>'3B Gestión Estiércol N2O Dir'!U32/1000000</f>
        <v>1.0095644233520443E-2</v>
      </c>
      <c r="Y35" s="1409"/>
      <c r="Z35" s="1410"/>
    </row>
    <row r="36" spans="2:26" ht="18" customHeight="1">
      <c r="B36" s="1412" t="s">
        <v>1628</v>
      </c>
      <c r="C36" s="1495">
        <f>'Table3.B(a)'!C36</f>
        <v>43984.487917554987</v>
      </c>
      <c r="D36" s="1274"/>
      <c r="E36" s="2058">
        <f>AVERAGE('3B Gestión Estiércol N2O Dir'!G34:G37)</f>
        <v>2.95</v>
      </c>
      <c r="F36" s="1520" t="s">
        <v>41</v>
      </c>
      <c r="G36" s="1520" t="s">
        <v>41</v>
      </c>
      <c r="H36" s="1520" t="s">
        <v>41</v>
      </c>
      <c r="I36" s="1521">
        <f>SUM('3B Gestión Estiércol N2O Dir'!Z34:Z37)</f>
        <v>5828027.5619999999</v>
      </c>
      <c r="J36" s="1520" t="s">
        <v>41</v>
      </c>
      <c r="K36" s="1520" t="s">
        <v>41</v>
      </c>
      <c r="L36" s="1520" t="s">
        <v>41</v>
      </c>
      <c r="M36" s="1520" t="s">
        <v>41</v>
      </c>
      <c r="N36" s="1520">
        <v>0</v>
      </c>
      <c r="O36" s="1520" t="s">
        <v>41</v>
      </c>
      <c r="P36" s="1520" t="s">
        <v>41</v>
      </c>
      <c r="Q36" s="1520">
        <f>SUM('3B Gestión Estiércol N2O Dir'!AD34:AD37)</f>
        <v>12329475.304221006</v>
      </c>
      <c r="R36" s="1527">
        <f t="shared" si="12"/>
        <v>18157502.866221007</v>
      </c>
      <c r="S36" s="1406"/>
      <c r="T36" s="1120"/>
      <c r="U36" s="1492">
        <f t="shared" si="13"/>
        <v>0.41281605688477335</v>
      </c>
      <c r="V36" s="1403"/>
      <c r="W36" s="1404"/>
      <c r="X36" s="2062">
        <f>SUM('3B Gestión Estiércol N2O Dir'!U34:U37)/1000000</f>
        <v>0.47908108553551726</v>
      </c>
      <c r="Y36" s="1409"/>
      <c r="Z36" s="1410"/>
    </row>
    <row r="37" spans="2:26" ht="18" customHeight="1">
      <c r="B37" s="1412" t="s">
        <v>1629</v>
      </c>
      <c r="C37" s="1405"/>
      <c r="D37" s="1397"/>
      <c r="E37" s="2059"/>
      <c r="F37" s="1522"/>
      <c r="G37" s="1522"/>
      <c r="H37" s="1522"/>
      <c r="I37" s="1522"/>
      <c r="J37" s="1522"/>
      <c r="K37" s="1522"/>
      <c r="L37" s="1522"/>
      <c r="M37" s="1522"/>
      <c r="N37" s="1522"/>
      <c r="O37" s="1522"/>
      <c r="P37" s="1522"/>
      <c r="Q37" s="1522"/>
      <c r="R37" s="1522"/>
      <c r="S37" s="1406"/>
      <c r="T37" s="1120"/>
      <c r="U37" s="1407"/>
      <c r="V37" s="1403"/>
      <c r="W37" s="1404"/>
      <c r="X37" s="1405"/>
      <c r="Y37" s="1409"/>
      <c r="Z37" s="1410"/>
    </row>
    <row r="38" spans="2:26" ht="18" customHeight="1">
      <c r="B38" s="1290" t="s">
        <v>1547</v>
      </c>
      <c r="C38" s="1280"/>
      <c r="D38" s="1121"/>
      <c r="E38" s="2060"/>
      <c r="F38" s="1529"/>
      <c r="G38" s="1529"/>
      <c r="H38" s="1529"/>
      <c r="I38" s="1529"/>
      <c r="J38" s="1529"/>
      <c r="K38" s="1529"/>
      <c r="L38" s="1529"/>
      <c r="M38" s="1529"/>
      <c r="N38" s="1529"/>
      <c r="O38" s="1529"/>
      <c r="P38" s="1529"/>
      <c r="Q38" s="1529"/>
      <c r="R38" s="1529"/>
      <c r="S38" s="1121"/>
      <c r="T38" s="1121"/>
      <c r="U38" s="1121"/>
      <c r="V38" s="1121"/>
      <c r="W38" s="1121"/>
      <c r="X38" s="1121"/>
      <c r="Y38" s="1121"/>
      <c r="Z38" s="1122"/>
    </row>
    <row r="39" spans="2:26" ht="18" customHeight="1">
      <c r="B39" s="1291" t="s">
        <v>1630</v>
      </c>
      <c r="C39" s="1274"/>
      <c r="D39" s="1274"/>
      <c r="E39" s="2061" t="s">
        <v>41</v>
      </c>
      <c r="F39" s="1520" t="s">
        <v>41</v>
      </c>
      <c r="G39" s="1520" t="s">
        <v>41</v>
      </c>
      <c r="H39" s="1520" t="s">
        <v>41</v>
      </c>
      <c r="I39" s="1520" t="s">
        <v>41</v>
      </c>
      <c r="J39" s="1520" t="s">
        <v>41</v>
      </c>
      <c r="K39" s="1520" t="s">
        <v>41</v>
      </c>
      <c r="L39" s="1520" t="s">
        <v>41</v>
      </c>
      <c r="M39" s="1520" t="s">
        <v>41</v>
      </c>
      <c r="N39" s="1520" t="s">
        <v>41</v>
      </c>
      <c r="O39" s="1520" t="s">
        <v>41</v>
      </c>
      <c r="P39" s="1520" t="s">
        <v>41</v>
      </c>
      <c r="Q39" s="1520" t="s">
        <v>41</v>
      </c>
      <c r="R39" s="1997" t="s">
        <v>41</v>
      </c>
      <c r="S39" s="1406"/>
      <c r="T39" s="1120"/>
      <c r="U39" s="1998" t="s">
        <v>41</v>
      </c>
      <c r="V39" s="1403"/>
      <c r="W39" s="1404"/>
      <c r="X39" s="1999" t="s">
        <v>2211</v>
      </c>
      <c r="Y39" s="1409"/>
      <c r="Z39" s="1410"/>
    </row>
    <row r="40" spans="2:26" ht="18" customHeight="1">
      <c r="B40" s="1291" t="s">
        <v>1631</v>
      </c>
      <c r="C40" s="1274"/>
      <c r="D40" s="1274"/>
      <c r="E40" s="2061" t="s">
        <v>41</v>
      </c>
      <c r="F40" s="1520" t="s">
        <v>41</v>
      </c>
      <c r="G40" s="1520" t="s">
        <v>41</v>
      </c>
      <c r="H40" s="1520" t="s">
        <v>41</v>
      </c>
      <c r="I40" s="1520" t="s">
        <v>41</v>
      </c>
      <c r="J40" s="1520" t="s">
        <v>41</v>
      </c>
      <c r="K40" s="1520" t="s">
        <v>41</v>
      </c>
      <c r="L40" s="1520" t="s">
        <v>41</v>
      </c>
      <c r="M40" s="1520" t="s">
        <v>41</v>
      </c>
      <c r="N40" s="1520" t="s">
        <v>41</v>
      </c>
      <c r="O40" s="1520" t="s">
        <v>41</v>
      </c>
      <c r="P40" s="1520" t="s">
        <v>41</v>
      </c>
      <c r="Q40" s="1520" t="s">
        <v>41</v>
      </c>
      <c r="R40" s="1997" t="s">
        <v>41</v>
      </c>
      <c r="S40" s="1406"/>
      <c r="T40" s="1120"/>
      <c r="U40" s="1998" t="s">
        <v>41</v>
      </c>
      <c r="V40" s="1403"/>
      <c r="W40" s="1404"/>
      <c r="X40" s="1999" t="s">
        <v>2211</v>
      </c>
      <c r="Y40" s="1409"/>
      <c r="Z40" s="1410"/>
    </row>
    <row r="41" spans="2:26" ht="18" customHeight="1">
      <c r="B41" s="1291" t="s">
        <v>1632</v>
      </c>
      <c r="C41" s="1274"/>
      <c r="D41" s="1274"/>
      <c r="E41" s="2061" t="s">
        <v>41</v>
      </c>
      <c r="F41" s="1520" t="s">
        <v>41</v>
      </c>
      <c r="G41" s="1520" t="s">
        <v>41</v>
      </c>
      <c r="H41" s="1520" t="s">
        <v>41</v>
      </c>
      <c r="I41" s="1520" t="s">
        <v>41</v>
      </c>
      <c r="J41" s="1520" t="s">
        <v>41</v>
      </c>
      <c r="K41" s="1520" t="s">
        <v>41</v>
      </c>
      <c r="L41" s="1520" t="s">
        <v>41</v>
      </c>
      <c r="M41" s="1520" t="s">
        <v>41</v>
      </c>
      <c r="N41" s="1520" t="s">
        <v>41</v>
      </c>
      <c r="O41" s="1520" t="s">
        <v>41</v>
      </c>
      <c r="P41" s="1520" t="s">
        <v>41</v>
      </c>
      <c r="Q41" s="1520" t="s">
        <v>41</v>
      </c>
      <c r="R41" s="1997" t="s">
        <v>41</v>
      </c>
      <c r="S41" s="1406"/>
      <c r="T41" s="1120"/>
      <c r="U41" s="1998" t="s">
        <v>41</v>
      </c>
      <c r="V41" s="1403"/>
      <c r="W41" s="1404"/>
      <c r="X41" s="1999" t="s">
        <v>2211</v>
      </c>
      <c r="Y41" s="1409"/>
      <c r="Z41" s="1410"/>
    </row>
    <row r="42" spans="2:26" ht="18" customHeight="1">
      <c r="B42" s="1291" t="s">
        <v>1671</v>
      </c>
      <c r="C42" s="1274"/>
      <c r="D42" s="1274"/>
      <c r="E42" s="2061" t="s">
        <v>41</v>
      </c>
      <c r="F42" s="1520" t="s">
        <v>41</v>
      </c>
      <c r="G42" s="1520" t="s">
        <v>41</v>
      </c>
      <c r="H42" s="1520" t="s">
        <v>41</v>
      </c>
      <c r="I42" s="1520" t="s">
        <v>41</v>
      </c>
      <c r="J42" s="1520" t="s">
        <v>41</v>
      </c>
      <c r="K42" s="1520" t="s">
        <v>41</v>
      </c>
      <c r="L42" s="1520" t="s">
        <v>41</v>
      </c>
      <c r="M42" s="1520" t="s">
        <v>41</v>
      </c>
      <c r="N42" s="1520" t="s">
        <v>41</v>
      </c>
      <c r="O42" s="1520" t="s">
        <v>41</v>
      </c>
      <c r="P42" s="1520" t="s">
        <v>41</v>
      </c>
      <c r="Q42" s="1520" t="s">
        <v>41</v>
      </c>
      <c r="R42" s="1997" t="s">
        <v>41</v>
      </c>
      <c r="S42" s="1406"/>
      <c r="T42" s="1120"/>
      <c r="U42" s="1998" t="s">
        <v>41</v>
      </c>
      <c r="V42" s="1403"/>
      <c r="W42" s="1404"/>
      <c r="X42" s="1999" t="s">
        <v>2211</v>
      </c>
      <c r="Y42" s="1409"/>
      <c r="Z42" s="1410"/>
    </row>
    <row r="43" spans="2:26" ht="18" customHeight="1">
      <c r="B43" s="1298" t="s">
        <v>1634</v>
      </c>
      <c r="C43" s="1405"/>
      <c r="D43" s="1397"/>
      <c r="E43" s="1397"/>
      <c r="F43" s="1997" t="s">
        <v>41</v>
      </c>
      <c r="G43" s="1997" t="s">
        <v>41</v>
      </c>
      <c r="H43" s="1997" t="s">
        <v>41</v>
      </c>
      <c r="I43" s="1997" t="s">
        <v>41</v>
      </c>
      <c r="J43" s="1997" t="s">
        <v>41</v>
      </c>
      <c r="K43" s="1997" t="s">
        <v>41</v>
      </c>
      <c r="L43" s="1997" t="s">
        <v>41</v>
      </c>
      <c r="M43" s="1997" t="s">
        <v>41</v>
      </c>
      <c r="N43" s="1997" t="s">
        <v>41</v>
      </c>
      <c r="O43" s="1997" t="s">
        <v>41</v>
      </c>
      <c r="P43" s="1997" t="s">
        <v>41</v>
      </c>
      <c r="Q43" s="1997" t="s">
        <v>41</v>
      </c>
      <c r="R43" s="1997" t="s">
        <v>41</v>
      </c>
      <c r="S43" s="1406"/>
      <c r="T43" s="1120"/>
      <c r="U43" s="1998" t="s">
        <v>41</v>
      </c>
      <c r="V43" s="1403"/>
      <c r="W43" s="1404"/>
      <c r="X43" s="2000" t="s">
        <v>2211</v>
      </c>
      <c r="Y43" s="1409"/>
      <c r="Z43" s="1410"/>
    </row>
    <row r="44" spans="2:26" ht="18" customHeight="1">
      <c r="B44" s="1425"/>
      <c r="C44" s="1426"/>
      <c r="D44" s="1426"/>
      <c r="E44" s="1405"/>
      <c r="F44" s="1531"/>
      <c r="G44" s="1531"/>
      <c r="H44" s="1531"/>
      <c r="I44" s="1531"/>
      <c r="J44" s="1531"/>
      <c r="K44" s="1531"/>
      <c r="L44" s="1531"/>
      <c r="M44" s="1531"/>
      <c r="N44" s="1531"/>
      <c r="O44" s="1531"/>
      <c r="P44" s="1531"/>
      <c r="Q44" s="1520"/>
      <c r="R44" s="1522"/>
      <c r="S44" s="1427"/>
      <c r="T44" s="1428"/>
      <c r="U44" s="1429"/>
      <c r="V44" s="1430"/>
      <c r="W44" s="1431"/>
      <c r="X44" s="1432"/>
      <c r="Y44" s="1433"/>
      <c r="Z44" s="1434"/>
    </row>
    <row r="45" spans="2:26" s="1444" customFormat="1" ht="18" customHeight="1" thickBot="1">
      <c r="B45" s="1435" t="s">
        <v>1498</v>
      </c>
      <c r="C45" s="1436"/>
      <c r="D45" s="1436"/>
      <c r="E45" s="1436"/>
      <c r="F45" s="1437"/>
      <c r="G45" s="1437"/>
      <c r="H45" s="1437"/>
      <c r="I45" s="1437"/>
      <c r="J45" s="1437"/>
      <c r="K45" s="1437"/>
      <c r="L45" s="1437"/>
      <c r="M45" s="1436"/>
      <c r="N45" s="1438"/>
      <c r="O45" s="1438"/>
      <c r="P45" s="1436"/>
      <c r="Q45" s="1438"/>
      <c r="R45" s="1439"/>
      <c r="S45" s="1512">
        <f>SUM('3B Gestión Estiércol N2O Ind'!AC15:AC37)</f>
        <v>22100807.196310665</v>
      </c>
      <c r="T45" s="1512">
        <f>SUM('3B Gestión Estiércol N2O Ind'!AD15:AD37)</f>
        <v>874700.56091243029</v>
      </c>
      <c r="U45" s="1440"/>
      <c r="V45" s="1441">
        <f>'3B Gestión Estiércol N2O Ind'!AE38/'3B Gestión Estiércol N2O Ind'!E38</f>
        <v>6.6429675798166613E-3</v>
      </c>
      <c r="W45" s="1442">
        <f>'3B Gestión Estiércol N2O Ind'!AF38/'3B Gestión Estiércol N2O Ind'!E38</f>
        <v>2.9835626184331336E-4</v>
      </c>
      <c r="X45" s="1443"/>
      <c r="Y45" s="1513">
        <f>'3B Gestión Estiércol N2O Ind'!AE38/1000000</f>
        <v>0.33664619572923815</v>
      </c>
      <c r="Z45" s="1514">
        <f>'3B Gestión Estiércol N2O Ind'!AF38/1000000</f>
        <v>1.5119823981486293E-2</v>
      </c>
    </row>
    <row r="46" spans="2:26" ht="18" customHeight="1" thickBot="1">
      <c r="B46" s="1445" t="s">
        <v>1672</v>
      </c>
      <c r="C46" s="1446"/>
      <c r="D46" s="1446"/>
      <c r="E46" s="1446"/>
      <c r="F46" s="1532" t="e">
        <f>F10+F22+F25+F28</f>
        <v>#VALUE!</v>
      </c>
      <c r="G46" s="1532" t="e">
        <f t="shared" ref="G46:Q46" si="14">G10+G22+G25+G28</f>
        <v>#VALUE!</v>
      </c>
      <c r="H46" s="1532">
        <f t="shared" si="14"/>
        <v>0</v>
      </c>
      <c r="I46" s="1532">
        <f t="shared" si="14"/>
        <v>12353884.544251122</v>
      </c>
      <c r="J46" s="1532" t="e">
        <f t="shared" si="14"/>
        <v>#VALUE!</v>
      </c>
      <c r="K46" s="1532" t="e">
        <f t="shared" si="14"/>
        <v>#VALUE!</v>
      </c>
      <c r="L46" s="1532" t="e">
        <f t="shared" si="14"/>
        <v>#VALUE!</v>
      </c>
      <c r="M46" s="1436"/>
      <c r="N46" s="1532">
        <f t="shared" si="14"/>
        <v>5910973.8923016731</v>
      </c>
      <c r="O46" s="1532" t="e">
        <f t="shared" si="14"/>
        <v>#VALUE!</v>
      </c>
      <c r="P46" s="1436"/>
      <c r="Q46" s="1532">
        <f t="shared" si="14"/>
        <v>23506158.570945032</v>
      </c>
      <c r="R46" s="1446"/>
      <c r="S46" s="1446"/>
      <c r="T46" s="1447"/>
      <c r="U46" s="1448"/>
      <c r="V46" s="1447"/>
      <c r="W46" s="1449"/>
      <c r="X46" s="1448"/>
      <c r="Y46" s="1447"/>
      <c r="Z46" s="1449"/>
    </row>
    <row r="47" spans="2:26" ht="18" customHeight="1" thickBot="1">
      <c r="B47" s="1450" t="s">
        <v>1673</v>
      </c>
      <c r="C47" s="1439"/>
      <c r="D47" s="1439"/>
      <c r="E47" s="1439"/>
      <c r="F47" s="1451"/>
      <c r="G47" s="1451"/>
      <c r="H47" s="1451"/>
      <c r="I47" s="1451"/>
      <c r="J47" s="1451"/>
      <c r="K47" s="1451"/>
      <c r="L47" s="1451"/>
      <c r="M47" s="1436"/>
      <c r="N47" s="1452"/>
      <c r="O47" s="1452"/>
      <c r="P47" s="1436"/>
      <c r="Q47" s="1453"/>
      <c r="R47" s="1439"/>
      <c r="S47" s="1439"/>
      <c r="T47" s="1454"/>
      <c r="U47" s="1455"/>
      <c r="V47" s="1454"/>
      <c r="W47" s="1456"/>
      <c r="X47" s="1455"/>
      <c r="Y47" s="1454"/>
      <c r="Z47" s="1456"/>
    </row>
    <row r="48" spans="2:26" ht="18" customHeight="1" thickBot="1">
      <c r="B48" s="1457" t="s">
        <v>1674</v>
      </c>
      <c r="C48" s="1458"/>
      <c r="D48" s="1458"/>
      <c r="E48" s="1458"/>
      <c r="F48" s="1459"/>
      <c r="G48" s="1459">
        <f>'3B Gestión Estiércol N2O Dir'!AI38/1000000</f>
        <v>0</v>
      </c>
      <c r="H48" s="1459"/>
      <c r="I48" s="1459">
        <f>'3B Gestión Estiércol N2O Dir'!AG38/1000000</f>
        <v>0.19413247140966047</v>
      </c>
      <c r="J48" s="1459"/>
      <c r="K48" s="1459"/>
      <c r="L48" s="1459"/>
      <c r="M48" s="1460"/>
      <c r="N48" s="1461">
        <f>'3B Gestión Estiércol N2O Dir'!AH38/1000000</f>
        <v>9.2886732593311983E-2</v>
      </c>
      <c r="O48" s="1461"/>
      <c r="P48" s="1460"/>
      <c r="Q48" s="1461">
        <f>'3B Gestión Estiércol N2O Dir'!AK38/1000000</f>
        <v>0.73876498365827226</v>
      </c>
      <c r="R48" s="1458"/>
      <c r="S48" s="1460"/>
      <c r="T48" s="1462"/>
      <c r="U48" s="1534">
        <f>'3B Gestión Estiércol N2O Dir'!U38/'3B Gestión Estiércol N2O Dir'!E38</f>
        <v>2.0241580594015884E-2</v>
      </c>
      <c r="V48" s="1460"/>
      <c r="W48" s="1463"/>
      <c r="X48" s="1535">
        <f>X10+X22+X25+X28</f>
        <v>1.025784187661245</v>
      </c>
      <c r="Y48" s="1464"/>
      <c r="Z48" s="1462"/>
    </row>
    <row r="49" spans="2:26">
      <c r="B49" s="1465"/>
      <c r="C49" s="1465"/>
      <c r="D49" s="1465"/>
      <c r="E49" s="1465"/>
      <c r="F49" s="1465"/>
      <c r="G49" s="1465"/>
      <c r="H49" s="1465"/>
      <c r="I49" s="1465"/>
      <c r="J49" s="1465"/>
      <c r="K49" s="1465"/>
      <c r="L49" s="1465"/>
      <c r="M49" s="1465"/>
      <c r="N49" s="1465"/>
      <c r="O49" s="1465"/>
      <c r="P49" s="1465"/>
      <c r="Q49" s="1465"/>
      <c r="R49" s="1465"/>
      <c r="S49" s="1465"/>
      <c r="T49" s="1465"/>
      <c r="U49" s="1465"/>
      <c r="V49" s="1465"/>
      <c r="W49" s="1465"/>
      <c r="X49" s="1465"/>
      <c r="Y49" s="1465"/>
    </row>
    <row r="50" spans="2:26" ht="14">
      <c r="B50" s="1308"/>
      <c r="C50" s="1308"/>
      <c r="D50" s="1308"/>
      <c r="E50" s="1308"/>
      <c r="F50" s="1308"/>
      <c r="G50" s="1308"/>
      <c r="H50" s="1308"/>
      <c r="I50" s="1308"/>
      <c r="J50" s="1308"/>
      <c r="K50" s="1308"/>
      <c r="L50" s="1308"/>
      <c r="M50" s="1308"/>
      <c r="N50" s="1308"/>
      <c r="O50" s="1308"/>
      <c r="P50" s="1308"/>
      <c r="Q50" s="1308"/>
      <c r="R50" s="1308"/>
      <c r="S50" s="1308"/>
      <c r="T50" s="1308"/>
      <c r="U50" s="1308"/>
      <c r="V50" s="1308"/>
      <c r="W50" s="1308"/>
      <c r="X50" s="1308"/>
    </row>
    <row r="51" spans="2:26" ht="14">
      <c r="B51" s="1308"/>
      <c r="C51" s="1308"/>
      <c r="D51" s="1308"/>
      <c r="E51" s="1308"/>
      <c r="F51" s="1308"/>
      <c r="G51" s="1308"/>
      <c r="H51" s="1308"/>
      <c r="I51" s="1308"/>
      <c r="J51" s="1308"/>
      <c r="K51" s="1308"/>
      <c r="L51" s="1308"/>
      <c r="M51" s="1308"/>
      <c r="N51" s="1308"/>
      <c r="O51" s="1308"/>
      <c r="P51" s="1308"/>
      <c r="Q51" s="1308"/>
      <c r="R51" s="1308"/>
      <c r="S51" s="1308"/>
      <c r="T51" s="1308"/>
      <c r="U51" s="1308"/>
      <c r="V51" s="1308"/>
      <c r="W51" s="1308"/>
      <c r="X51" s="1308"/>
    </row>
    <row r="52" spans="2:26" ht="20">
      <c r="B52" s="1466"/>
      <c r="C52" s="1467"/>
      <c r="D52" s="1467"/>
      <c r="E52" s="1467"/>
      <c r="F52" s="1467"/>
      <c r="G52" s="1467"/>
      <c r="H52" s="1467"/>
      <c r="I52" s="1467"/>
      <c r="J52" s="1467"/>
      <c r="K52" s="1467"/>
      <c r="L52" s="1467"/>
      <c r="M52" s="1467"/>
      <c r="N52" s="1467"/>
      <c r="O52" s="1467"/>
      <c r="P52" s="1467"/>
      <c r="Q52" s="1467"/>
      <c r="R52" s="1467"/>
      <c r="S52" s="1467"/>
      <c r="T52" s="1467"/>
      <c r="U52" s="1467"/>
      <c r="V52" s="1467"/>
      <c r="W52" s="1467"/>
      <c r="X52" s="1467"/>
      <c r="Y52" s="1468"/>
      <c r="Z52" s="1468"/>
    </row>
    <row r="53" spans="2:26" ht="14">
      <c r="B53" s="1308"/>
      <c r="C53" s="1308"/>
      <c r="D53" s="1308"/>
      <c r="E53" s="1308"/>
      <c r="F53" s="1308"/>
      <c r="G53" s="1308"/>
      <c r="H53" s="1308"/>
      <c r="I53" s="1308"/>
      <c r="J53" s="1308"/>
      <c r="K53" s="1308"/>
      <c r="L53" s="1308"/>
      <c r="M53" s="1308"/>
      <c r="N53" s="1308"/>
      <c r="O53" s="1308"/>
      <c r="P53" s="1308"/>
      <c r="Q53" s="1308"/>
      <c r="R53" s="1308"/>
      <c r="S53" s="1308"/>
      <c r="T53" s="1308"/>
      <c r="U53" s="1308"/>
      <c r="V53" s="1308"/>
      <c r="W53" s="1308"/>
      <c r="X53" s="1308"/>
    </row>
    <row r="54" spans="2:26" ht="14">
      <c r="B54" s="1469"/>
      <c r="C54" s="1469"/>
      <c r="D54" s="1469"/>
      <c r="E54" s="1469"/>
      <c r="F54" s="1469"/>
      <c r="G54" s="1469"/>
      <c r="H54" s="1469"/>
      <c r="I54" s="1469"/>
      <c r="J54" s="1469"/>
      <c r="K54" s="1469"/>
      <c r="L54" s="1469"/>
      <c r="M54" s="1469"/>
      <c r="N54" s="1469"/>
      <c r="O54" s="1469"/>
      <c r="P54" s="1469"/>
      <c r="Q54" s="1469"/>
      <c r="R54" s="1469"/>
      <c r="S54" s="1469"/>
      <c r="T54" s="1469"/>
      <c r="U54" s="1469"/>
      <c r="V54" s="1469"/>
      <c r="W54" s="1469"/>
      <c r="X54" s="1469"/>
    </row>
    <row r="55" spans="2:26" ht="14">
      <c r="B55" s="1469"/>
      <c r="C55" s="1469"/>
      <c r="D55" s="1469"/>
      <c r="E55" s="1469"/>
      <c r="F55" s="1469"/>
      <c r="G55" s="1469"/>
      <c r="H55" s="1469"/>
      <c r="I55" s="1469"/>
      <c r="J55" s="1469"/>
      <c r="K55" s="1469"/>
      <c r="L55" s="1469"/>
      <c r="M55" s="1469"/>
      <c r="N55" s="1469"/>
      <c r="O55" s="1469"/>
      <c r="P55" s="1469"/>
      <c r="Q55" s="1469"/>
      <c r="R55" s="1469"/>
      <c r="S55" s="1469"/>
      <c r="T55" s="1469"/>
      <c r="U55" s="1469"/>
      <c r="V55" s="1469"/>
      <c r="W55" s="1469"/>
      <c r="X55" s="1469"/>
    </row>
    <row r="56" spans="2:26" ht="14">
      <c r="B56" s="1469"/>
      <c r="C56" s="1469"/>
      <c r="D56" s="1469"/>
      <c r="E56" s="1469"/>
      <c r="F56" s="1469"/>
      <c r="G56" s="1469"/>
      <c r="H56" s="1469"/>
      <c r="I56" s="1469"/>
      <c r="J56" s="1469"/>
      <c r="K56" s="1469"/>
      <c r="L56" s="1469"/>
      <c r="M56" s="1469"/>
      <c r="N56" s="1469"/>
      <c r="O56" s="1469"/>
      <c r="P56" s="1469"/>
      <c r="Q56" s="1469"/>
      <c r="R56" s="1469"/>
      <c r="S56" s="1469"/>
      <c r="T56" s="1469"/>
      <c r="U56" s="1469"/>
      <c r="V56" s="1469"/>
      <c r="W56" s="1469"/>
      <c r="X56" s="1469"/>
    </row>
    <row r="57" spans="2:26" ht="14">
      <c r="B57" s="1470"/>
      <c r="C57" s="1470"/>
      <c r="D57" s="1470"/>
      <c r="E57" s="1470"/>
      <c r="F57" s="1470"/>
      <c r="G57" s="1470"/>
      <c r="H57" s="1470"/>
      <c r="I57" s="1470"/>
      <c r="J57" s="1470"/>
      <c r="K57" s="1470"/>
      <c r="L57" s="1470"/>
      <c r="M57" s="1470"/>
      <c r="N57" s="1470"/>
      <c r="O57" s="1470"/>
      <c r="P57" s="1470"/>
      <c r="Q57" s="1470"/>
      <c r="R57" s="1470"/>
      <c r="S57" s="1470"/>
      <c r="T57" s="1470"/>
      <c r="U57" s="1470"/>
      <c r="V57" s="1470"/>
      <c r="W57" s="1470"/>
      <c r="X57" s="1470"/>
      <c r="Y57" s="1471"/>
      <c r="Z57" s="1471"/>
    </row>
    <row r="58" spans="2:26" ht="14.5" thickBot="1">
      <c r="B58" s="1470"/>
      <c r="C58" s="1470"/>
      <c r="D58" s="1470"/>
      <c r="E58" s="1470"/>
      <c r="F58" s="1470"/>
      <c r="G58" s="1470"/>
      <c r="H58" s="1470"/>
      <c r="I58" s="1470"/>
      <c r="J58" s="1470"/>
      <c r="K58" s="1470"/>
      <c r="L58" s="1470"/>
      <c r="M58" s="1470"/>
      <c r="N58" s="1470"/>
      <c r="O58" s="1470"/>
      <c r="P58" s="1470"/>
      <c r="Q58" s="1470"/>
      <c r="R58" s="1470"/>
      <c r="S58" s="1470"/>
      <c r="T58" s="1470"/>
      <c r="U58" s="1470"/>
      <c r="V58" s="1470"/>
      <c r="W58" s="1470"/>
      <c r="X58" s="1470"/>
      <c r="Y58" s="1471"/>
      <c r="Z58" s="1471"/>
    </row>
    <row r="59" spans="2:26">
      <c r="B59" s="1315" t="s">
        <v>1516</v>
      </c>
      <c r="C59" s="1472"/>
      <c r="D59" s="1472"/>
      <c r="E59" s="1472"/>
      <c r="F59" s="1472"/>
      <c r="G59" s="1472"/>
      <c r="H59" s="1472"/>
      <c r="I59" s="1472"/>
      <c r="J59" s="1472"/>
      <c r="K59" s="1472"/>
      <c r="L59" s="1472"/>
      <c r="M59" s="1472"/>
      <c r="N59" s="2067"/>
      <c r="O59" s="2067"/>
      <c r="P59" s="2067"/>
      <c r="Q59" s="2067"/>
      <c r="R59" s="2067"/>
      <c r="S59" s="2067"/>
      <c r="T59" s="2067"/>
      <c r="U59" s="2067"/>
      <c r="V59" s="2067"/>
      <c r="W59" s="2067"/>
      <c r="X59" s="2067"/>
      <c r="Y59" s="2067"/>
      <c r="Z59" s="2067"/>
    </row>
    <row r="60" spans="2:26">
      <c r="B60" s="1778" t="str" cm="1">
        <f t="array" ref="B60">'3B Gestión Estiércol N2O Dir'!C43:C43</f>
        <v>TIPO DE GANADO</v>
      </c>
      <c r="C60" s="1778" t="str" cm="1">
        <f t="array" ref="C60">'3B Gestión Estiércol N2O Dir'!D43:D43</f>
        <v>DATO DE ACTIVIDAD</v>
      </c>
      <c r="D60" s="1778" t="str" cm="1">
        <f t="array" ref="D60">'3B Gestión Estiércol N2O Dir'!E43:E43</f>
        <v>Observaciones</v>
      </c>
      <c r="E60" s="1778" t="str" cm="1">
        <f t="array" ref="E60">'3B Gestión Estiércol N2O Dir'!F43:F43</f>
        <v>N ratio</v>
      </c>
      <c r="F60" s="1778" t="str" cm="1">
        <f t="array" ref="F60">'3B Gestión Estiércol N2O Dir'!G43:G43</f>
        <v>TAM</v>
      </c>
      <c r="G60" s="1778" t="str" cm="1">
        <f t="array" ref="G60">'3B Gestión Estiércol N2O Dir'!H43:H43</f>
        <v>Fracción AWMS</v>
      </c>
      <c r="H60" s="1778" t="str" cm="1">
        <f t="array" ref="H60">'3B Gestión Estiércol N2O Dir'!I43:I43</f>
        <v>FACTOR DE EMISIÓN</v>
      </c>
      <c r="I60" s="1778"/>
      <c r="J60" s="1778"/>
      <c r="K60" s="1778"/>
      <c r="L60" s="1778"/>
      <c r="M60" s="2064"/>
      <c r="N60" s="2067"/>
      <c r="O60" s="2067"/>
      <c r="P60" s="2067"/>
      <c r="Q60" s="2067"/>
      <c r="R60" s="2067"/>
      <c r="S60" s="2067"/>
      <c r="T60" s="2067"/>
      <c r="U60" s="2067"/>
      <c r="V60" s="2067"/>
      <c r="W60" s="2067"/>
      <c r="X60" s="2067"/>
      <c r="Y60" s="2067"/>
      <c r="Z60" s="2067"/>
    </row>
    <row r="61" spans="2:26">
      <c r="B61" s="1778" t="str" cm="1">
        <f t="array" ref="B61">'3B Gestión Estiércol N2O Dir'!C44:C44</f>
        <v>Ganado Lechero</v>
      </c>
      <c r="C61" s="2069" t="str">
        <f>'3B Gestión Estiércol N2O Dir'!D44</f>
        <v>ESPAC 2018 , tabla 67</v>
      </c>
      <c r="D61" s="2069" t="str">
        <f>'3B Gestión Estiércol N2O Dir'!E44</f>
        <v>Dato de actividad desagregado por región, dato de existencias población adulta de mas de dos años</v>
      </c>
      <c r="E61" s="2069" t="str">
        <f>'3B Gestión Estiércol N2O Dir'!F44</f>
        <v>Se obtiene por defecto de la tabla 10.19 directrices IPCC V4 CH 10, para ganado de la sierra se considera productividad media, en tanto para las otras regiones se considera productividad baja</v>
      </c>
      <c r="F61" s="2069" t="str">
        <f>'3B Gestión Estiércol N2O Dir'!G44</f>
        <v>Dato propio del país según registros de proyecto GCI por región</v>
      </c>
      <c r="G61" s="2069" t="str">
        <f>'3B Gestión Estiércol N2O Dir'!H44</f>
        <v>Valor propio del país según registros proyecto GCI por región, se promedian modos de producción</v>
      </c>
      <c r="H61" s="2069" t="str">
        <f>'3B Gestión Estiércol N2O Dir'!I44</f>
        <v>Factor de emisión por defecto tablas 10.21 directrices IPCC V4, en algunos casos se asemejan factores según similitud de sistemas de manejo y tipo de clima por región</v>
      </c>
      <c r="I61" s="2069"/>
      <c r="J61" s="2069"/>
      <c r="K61" s="2069"/>
      <c r="L61" s="2069"/>
      <c r="M61" s="2069"/>
      <c r="N61" s="2067" t="s">
        <v>43</v>
      </c>
      <c r="O61" s="2067"/>
      <c r="P61" s="2067"/>
      <c r="Q61" s="2067"/>
      <c r="R61" s="2067"/>
      <c r="S61" s="2067"/>
      <c r="T61" s="2067"/>
      <c r="U61" s="2067"/>
      <c r="V61" s="2067"/>
      <c r="W61" s="2067"/>
      <c r="X61" s="2067"/>
      <c r="Y61" s="2067"/>
      <c r="Z61" s="2067"/>
    </row>
    <row r="62" spans="2:26">
      <c r="B62" s="1778" t="str" cm="1">
        <f t="array" ref="B62">'3B Gestión Estiércol N2O Dir'!C45:C45</f>
        <v>No LecheroToros</v>
      </c>
      <c r="C62" s="2069" t="str">
        <f>'3B Gestión Estiércol N2O Dir'!D45</f>
        <v>ESPAC 2018, tabla 50</v>
      </c>
      <c r="D62" s="2069" t="str">
        <f>'3B Gestión Estiércol N2O Dir'!E45</f>
        <v>Corresponde al número de toros de 2 o más años de edad</v>
      </c>
      <c r="E62" s="2069" t="str">
        <f>'3B Gestión Estiércol N2O Dir'!F45</f>
        <v>Se obtiene por defecto de la tabla 10.19 directrices IPCC V4 CH 10, para ganado de la sierra se considera productividad media, en tanto para las otras regiones se considera productividad baja</v>
      </c>
      <c r="F62" s="2069" t="str">
        <f>'3B Gestión Estiércol N2O Dir'!G45</f>
        <v>Dato propio del país según registros de proyecto GCI por región</v>
      </c>
      <c r="G62" s="2069" t="str">
        <f>'3B Gestión Estiércol N2O Dir'!H45</f>
        <v>Valor propio del país según registros proyecto GCI por región, se promedian modos de producción</v>
      </c>
      <c r="H62" s="2069" t="str">
        <f>'3B Gestión Estiércol N2O Dir'!I45</f>
        <v>Factor de emisión por defecto tablas 10.21 directrices IPCC V4, en algunos casos se asemejan factores según similitud de sistemas de manejo y tipo de clima por región</v>
      </c>
      <c r="I62" s="2070"/>
      <c r="J62" s="2070"/>
      <c r="K62" s="2070"/>
      <c r="L62" s="2070"/>
      <c r="M62" s="2070"/>
      <c r="N62" s="2067" t="s">
        <v>43</v>
      </c>
      <c r="O62" s="2067"/>
      <c r="P62" s="2067"/>
      <c r="Q62" s="2067"/>
      <c r="R62" s="2067"/>
      <c r="S62" s="2067"/>
      <c r="T62" s="2067"/>
      <c r="U62" s="2067"/>
      <c r="V62" s="2067"/>
      <c r="W62" s="2067"/>
      <c r="X62" s="2067"/>
      <c r="Y62" s="2067"/>
      <c r="Z62" s="2067"/>
    </row>
    <row r="63" spans="2:26">
      <c r="B63" s="1778" t="str" cm="1">
        <f t="array" ref="B63">'3B Gestión Estiércol N2O Dir'!C46:C46</f>
        <v>No Lechero Vacas</v>
      </c>
      <c r="C63" s="2069" t="str">
        <f>'3B Gestión Estiércol N2O Dir'!D46</f>
        <v>ESPAC 2018, tabla 50</v>
      </c>
      <c r="D63" s="2069" t="str">
        <f>'3B Gestión Estiércol N2O Dir'!E46</f>
        <v>Corresponde al número de vacas de 2 o más años de edad menos el número de vacas ordeñadas</v>
      </c>
      <c r="E63" s="2069" t="str">
        <f>'3B Gestión Estiércol N2O Dir'!F46</f>
        <v>Se obtiene por defecto de la tabla 10.19 directrices IPCC V4 CH 10, para ganado de la sierra se considera productividad media, en tanto para las otras regiones se considera productividad baja</v>
      </c>
      <c r="F63" s="2069" t="str">
        <f>'3B Gestión Estiércol N2O Dir'!G46</f>
        <v>Dato propio del país según registros de proyecto GCI por región</v>
      </c>
      <c r="G63" s="2069" t="str">
        <f>'3B Gestión Estiércol N2O Dir'!H46</f>
        <v>Valor propio del país según registros proyecto GCI por región, se promedian modos de producción</v>
      </c>
      <c r="H63" s="2069" t="str">
        <f>'3B Gestión Estiércol N2O Dir'!I46</f>
        <v>Factor de emisión por defecto tablas 10.21 directrices IPCC V4, en algunos casos se asemejan factores según similitud de sistemas de manejo y tipo de clima por región</v>
      </c>
      <c r="I63" s="2070"/>
      <c r="J63" s="2070"/>
      <c r="K63" s="2070"/>
      <c r="L63" s="2070"/>
      <c r="M63" s="2070"/>
      <c r="N63" s="2067" t="s">
        <v>43</v>
      </c>
      <c r="O63" s="2067"/>
      <c r="P63" s="2067"/>
      <c r="Q63" s="2067"/>
      <c r="R63" s="2067"/>
      <c r="S63" s="2067"/>
      <c r="T63" s="2067"/>
      <c r="U63" s="2067"/>
      <c r="V63" s="2067"/>
      <c r="W63" s="2067"/>
      <c r="X63" s="2067"/>
      <c r="Y63" s="2067"/>
      <c r="Z63" s="2067"/>
    </row>
    <row r="64" spans="2:26">
      <c r="B64" s="1778" t="str" cm="1">
        <f t="array" ref="B64">'3B Gestión Estiércol N2O Dir'!C47:C47</f>
        <v>No Lechero En crecimiento</v>
      </c>
      <c r="C64" s="2069" t="str">
        <f>'3B Gestión Estiércol N2O Dir'!D47</f>
        <v>ESPAC 2018, tabla 50</v>
      </c>
      <c r="D64" s="2069" t="str">
        <f>'3B Gestión Estiércol N2O Dir'!E47</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4" s="2069" t="str">
        <f>'3B Gestión Estiércol N2O Dir'!F47</f>
        <v>Se obtiene por defecto de la tabla 10.19 directrices IPCC V4 CH 10, para ganado de la sierra se considera productividad media, en tanto para las otras regiones se considera productividad baja</v>
      </c>
      <c r="F64" s="2069" t="str">
        <f>'3B Gestión Estiércol N2O Dir'!G47</f>
        <v>Dato propio del país según registros de proyecto GCI por región, suma grupos de bovinos menores a 2 años machos y hembras</v>
      </c>
      <c r="G64" s="2069" t="str">
        <f>'3B Gestión Estiércol N2O Dir'!H47</f>
        <v>Valor propio del país según registros proyecto GCI por región, se promedian modos de producción</v>
      </c>
      <c r="H64" s="2069" t="str">
        <f>'3B Gestión Estiércol N2O Dir'!I47</f>
        <v>Factor de emisión por defecto tablas 10.21 directrices IPCC V4, en algunos casos se asemejan factores según similitud de sistemas de manejo y tipo de clima por región</v>
      </c>
      <c r="I64" s="2070"/>
      <c r="J64" s="2070"/>
      <c r="K64" s="2070"/>
      <c r="L64" s="2070"/>
      <c r="M64" s="2070"/>
      <c r="N64" s="2067" t="s">
        <v>43</v>
      </c>
      <c r="O64" s="2067"/>
      <c r="P64" s="2067"/>
      <c r="Q64" s="2067"/>
      <c r="R64" s="2067"/>
      <c r="S64" s="2067"/>
      <c r="T64" s="2067"/>
      <c r="U64" s="2067"/>
      <c r="V64" s="2067"/>
      <c r="W64" s="2067"/>
      <c r="X64" s="2067"/>
      <c r="Y64" s="2067"/>
      <c r="Z64" s="2067"/>
    </row>
    <row r="65" spans="2:26">
      <c r="B65" s="1778" t="str" cm="1">
        <f t="array" ref="B65">'3B Gestión Estiércol N2O Dir'!C48:C48</f>
        <v>Búfalos</v>
      </c>
      <c r="C65" s="2069" t="str">
        <f>'3B Gestión Estiércol N2O Dir'!D48</f>
        <v>Datos Agrocalidad, registro vacunación por fiebre aftosa.</v>
      </c>
      <c r="D65" s="2069">
        <f>'3B Gestión Estiércol N2O Dir'!E48</f>
        <v>0</v>
      </c>
      <c r="E65" s="2069" t="str">
        <f>'3B Gestión Estiércol N2O Dir'!F48</f>
        <v>Se obtiene por defecto de la tabla 10.19 directrices IPCC V4 CH 10, para ganado de la sierra se considera productividad media, en tanto para las otras regiones se considera productividad baja</v>
      </c>
      <c r="F65" s="2069" t="str">
        <f>'3B Gestión Estiércol N2O Dir'!G48</f>
        <v xml:space="preserve">Valor por defecto directrices IPCC tabla 10A.5 </v>
      </c>
      <c r="G65" s="2069" t="str">
        <f>'3B Gestión Estiércol N2O Dir'!H48</f>
        <v>Valor por defecto Tablas 10A.6 a 10A.9 directrices IPCC V4, Otros al no ser relevante suma los demás sistemas no considerados individualmente</v>
      </c>
      <c r="H65" s="2069" t="str">
        <f>'3B Gestión Estiércol N2O Dir'!I48</f>
        <v>Factor de emisión por defecto tablas 10.21 directrices IPCC V4, en algunos casos se asemejan factores según similitud de sistemas de manejo y tipo de clima por región</v>
      </c>
      <c r="I65" s="2070"/>
      <c r="J65" s="2070"/>
      <c r="K65" s="2070"/>
      <c r="L65" s="2070"/>
      <c r="M65" s="2070"/>
      <c r="N65" s="2067" t="s">
        <v>43</v>
      </c>
      <c r="O65" s="2067"/>
      <c r="P65" s="2067"/>
      <c r="Q65" s="2067"/>
      <c r="R65" s="2067"/>
      <c r="S65" s="2067"/>
      <c r="T65" s="2067"/>
      <c r="U65" s="2067"/>
      <c r="V65" s="2067"/>
      <c r="W65" s="2067"/>
      <c r="X65" s="2067"/>
      <c r="Y65" s="2067"/>
      <c r="Z65" s="2067"/>
    </row>
    <row r="66" spans="2:26">
      <c r="B66" s="1778" t="str" cm="1">
        <f t="array" ref="B66">'3B Gestión Estiércol N2O Dir'!C49:C49</f>
        <v>Ovejas</v>
      </c>
      <c r="C66" s="2069" t="str">
        <f>'3B Gestión Estiércol N2O Dir'!D49</f>
        <v>ESPAC 2018 , tabla 60</v>
      </c>
      <c r="D66" s="2069" t="str">
        <f>'3B Gestión Estiércol N2O Dir'!E49</f>
        <v>se confirma que el dato puede ser usado como dato final (dias vivo) considerando que el formulario del INEC pregunta por las existencias al momento de la encuesta, y no existe estadistica nacional para discretizar aquella población que vive menos de un año.</v>
      </c>
      <c r="E66" s="2069" t="str">
        <f>'3B Gestión Estiércol N2O Dir'!F49</f>
        <v>Se obtiene por defecto de la tabla 10.19 directrices IPCC V4 CH 10, para ganado de la sierra se considera productividad media, en tanto para las otras regiones se considera productividad baja</v>
      </c>
      <c r="F66" s="2069" t="str">
        <f>'3B Gestión Estiércol N2O Dir'!G49</f>
        <v>Valor por defecto directrices IPCC tabla 10A.6</v>
      </c>
      <c r="G66" s="2069" t="str">
        <f>'3B Gestión Estiércol N2O Dir'!H49</f>
        <v>Valor por defecto Tablas 10A.6 a 10A.9 directrices IPCC V4, Otros al no ser relevante suma los demás sistemas no considerados individualmente</v>
      </c>
      <c r="H66" s="2069" t="str">
        <f>'3B Gestión Estiércol N2O Dir'!I49</f>
        <v>Factor de emisión por defecto tablas 10.21 directrices IPCC V4, en algunos casos se asemejan factores según similitud de sistemas de manejo y tipo de clima por región</v>
      </c>
      <c r="I66" s="2070"/>
      <c r="J66" s="2070"/>
      <c r="K66" s="2070"/>
      <c r="L66" s="2070"/>
      <c r="M66" s="2070"/>
      <c r="N66" s="2067" t="s">
        <v>43</v>
      </c>
      <c r="O66" s="2067"/>
      <c r="P66" s="2067"/>
      <c r="Q66" s="2067"/>
      <c r="R66" s="2067"/>
      <c r="S66" s="2067"/>
      <c r="T66" s="2067"/>
      <c r="U66" s="2067"/>
      <c r="V66" s="2067"/>
      <c r="W66" s="2067"/>
      <c r="X66" s="2067"/>
      <c r="Y66" s="2067"/>
      <c r="Z66" s="2067"/>
    </row>
    <row r="67" spans="2:26">
      <c r="B67" s="1778" t="str" cm="1">
        <f t="array" ref="B67">'3B Gestión Estiércol N2O Dir'!C50:C50</f>
        <v>Cabras</v>
      </c>
      <c r="C67" s="2069" t="str">
        <f>'3B Gestión Estiércol N2O Dir'!D50</f>
        <v>ESPAC 2018 , tabla 61</v>
      </c>
      <c r="D67" s="2069" t="str">
        <f>'3B Gestión Estiércol N2O Dir'!E50</f>
        <v>se confirma que el dato puede ser usado como dato final (dias vivo) considerando que el formulario del INEC pregunta por las existencias al momento de la encuesta, y no existe estadistica nacional para discretizar aquella población que vive menos de un año.</v>
      </c>
      <c r="E67" s="2069" t="str">
        <f>'3B Gestión Estiércol N2O Dir'!F50</f>
        <v>Se obtiene por defecto de la tabla 10.19 directrices IPCC V4 CH 10, para ganado de la sierra se considera productividad media, en tanto para las otras regiones se considera productividad baja</v>
      </c>
      <c r="F67" s="2069" t="str">
        <f>'3B Gestión Estiércol N2O Dir'!G50</f>
        <v>Valor por defecto directrices IPCC tabla 10A.7</v>
      </c>
      <c r="G67" s="2069" t="str">
        <f>'3B Gestión Estiércol N2O Dir'!H50</f>
        <v>Valor por defecto Tablas 10A.6 a 10A.9 directrices IPCC V4, Otros al no ser relevante suma los demás sistemas no considerados individualmente</v>
      </c>
      <c r="H67" s="2069" t="str">
        <f>'3B Gestión Estiércol N2O Dir'!I50</f>
        <v>Factor de emisión por defecto tablas 10.21 directrices IPCC V4, en algunos casos se asemejan factores según similitud de sistemas de manejo y tipo de clima por región</v>
      </c>
      <c r="I67" s="2070"/>
      <c r="J67" s="2070"/>
      <c r="K67" s="2070"/>
      <c r="L67" s="2070"/>
      <c r="M67" s="2070"/>
      <c r="N67" s="2067" t="s">
        <v>43</v>
      </c>
      <c r="O67" s="2067"/>
      <c r="P67" s="2067"/>
      <c r="Q67" s="2067"/>
      <c r="R67" s="2067"/>
      <c r="S67" s="2067"/>
      <c r="T67" s="2067"/>
      <c r="U67" s="2067"/>
      <c r="V67" s="2067"/>
      <c r="W67" s="2067"/>
      <c r="X67" s="2067"/>
      <c r="Y67" s="2067"/>
      <c r="Z67" s="2067"/>
    </row>
    <row r="68" spans="2:26">
      <c r="B68" s="1778" t="str" cm="1">
        <f t="array" ref="B68">'3B Gestión Estiércol N2O Dir'!C51:C51</f>
        <v>Camélidos sudamericanos</v>
      </c>
      <c r="C68" s="2069" t="str">
        <f>'3B Gestión Estiércol N2O Dir'!D51</f>
        <v>Ministerio de Agricultura, Agrocalidad, Regional Chimborazo</v>
      </c>
      <c r="D68" s="2069" t="str">
        <f>'3B Gestión Estiércol N2O Dir'!E51</f>
        <v>Se confirman estadisticas similares y poblaciones estacionales para la categoría, las tasas de crecimiento se proyectan desde los datos de 2016 y 2018 para los siguientes años</v>
      </c>
      <c r="E68" s="2069" t="str">
        <f>'3B Gestión Estiércol N2O Dir'!F51</f>
        <v>Se obtiene por defecto de la tabla 10.19 directrices IPCC V4 CH 10, para ganado de la sierra se considera productividad media, en tanto para las otras regiones se considera productividad baja</v>
      </c>
      <c r="F68" s="2069" t="str">
        <f>'3B Gestión Estiércol N2O Dir'!G51</f>
        <v>Valor por defecto directrices IPCC tabla 10A.8</v>
      </c>
      <c r="G68" s="2069" t="str">
        <f>'3B Gestión Estiércol N2O Dir'!H51</f>
        <v>Valor por defecto Tablas 10A.6 a 10A.9 directrices IPCC V4, Otros al no ser relevante suma los demás sistemas no considerados individualmente</v>
      </c>
      <c r="H68" s="2069" t="str">
        <f>'3B Gestión Estiércol N2O Dir'!I51</f>
        <v>Factor de emisión por defecto tablas 10.21 directrices IPCC V4, en algunos casos se asemejan factores según similitud de sistemas de manejo y tipo de clima por región</v>
      </c>
      <c r="I68" s="2070"/>
      <c r="J68" s="2070"/>
      <c r="K68" s="2070"/>
      <c r="L68" s="2070"/>
      <c r="M68" s="2070"/>
      <c r="N68" s="2067" t="s">
        <v>43</v>
      </c>
      <c r="O68" s="2067"/>
      <c r="P68" s="2067"/>
      <c r="Q68" s="2067"/>
      <c r="R68" s="2067"/>
      <c r="S68" s="2067"/>
      <c r="T68" s="2067"/>
      <c r="U68" s="2067"/>
      <c r="V68" s="2067"/>
      <c r="W68" s="2067"/>
      <c r="X68" s="2067"/>
      <c r="Y68" s="2067"/>
      <c r="Z68" s="2067"/>
    </row>
    <row r="69" spans="2:26">
      <c r="B69" s="1778" t="str" cm="1">
        <f t="array" ref="B69">'3B Gestión Estiércol N2O Dir'!C52:C52</f>
        <v>Caballos</v>
      </c>
      <c r="C69" s="2069" t="str">
        <f>'3B Gestión Estiércol N2O Dir'!D52</f>
        <v>ESPAC 2018 , tabla 61</v>
      </c>
      <c r="D69" s="2069" t="str">
        <f>'3B Gestión Estiércol N2O Dir'!E52</f>
        <v>se confirma que el dato puede ser usado como dato final (dias vivo) considerando que el formulario del INEC pregunta por las existencias al momento de la encuesta, y no existe estadistica nacional para discretizar aquella población que vive menos de un año.</v>
      </c>
      <c r="E69" s="2069" t="str">
        <f>'3B Gestión Estiércol N2O Dir'!F52</f>
        <v>Se obtiene por defecto de la tabla 10.19 directrices IPCC V4 CH 10, para ganado de la sierra se considera productividad media, en tanto para las otras regiones se considera productividad baja</v>
      </c>
      <c r="F69" s="2069" t="str">
        <f>'3B Gestión Estiércol N2O Dir'!G52</f>
        <v>Valor por defecto directrices IPCC tabla 10A.9</v>
      </c>
      <c r="G69" s="2069" t="str">
        <f>'3B Gestión Estiércol N2O Dir'!H52</f>
        <v>Valor por defecto Tablas 10A.6 a 10A.9 directrices IPCC V4, Otros al no ser relevante suma los demás sistemas no considerados individualmente</v>
      </c>
      <c r="H69" s="2069" t="str">
        <f>'3B Gestión Estiércol N2O Dir'!I52</f>
        <v>Factor de emisión por defecto tablas 10.21 directrices IPCC V4, en algunos casos se asemejan factores según similitud de sistemas de manejo y tipo de clima por región</v>
      </c>
      <c r="I69" s="2070"/>
      <c r="J69" s="2070"/>
      <c r="K69" s="2070"/>
      <c r="L69" s="2070"/>
      <c r="M69" s="2070"/>
      <c r="N69" s="2067" t="s">
        <v>43</v>
      </c>
      <c r="O69" s="2067"/>
      <c r="P69" s="2067"/>
      <c r="Q69" s="2067"/>
      <c r="R69" s="2067"/>
      <c r="S69" s="2067"/>
      <c r="T69" s="2067"/>
      <c r="U69" s="2067"/>
      <c r="V69" s="2067"/>
      <c r="W69" s="2067"/>
      <c r="X69" s="2067"/>
      <c r="Y69" s="2067"/>
      <c r="Z69" s="2067"/>
    </row>
    <row r="70" spans="2:26">
      <c r="B70" s="1778" t="str" cm="1">
        <f t="array" ref="B70">'3B Gestión Estiércol N2O Dir'!C53:C53</f>
        <v>Mulas &amp; Asnos</v>
      </c>
      <c r="C70" s="2069" t="str">
        <f>'3B Gestión Estiércol N2O Dir'!D53</f>
        <v>ESPAC 2018 , tabla 61</v>
      </c>
      <c r="D70" s="2069" t="str">
        <f>'3B Gestión Estiércol N2O Dir'!E53</f>
        <v>se confirma que el dato puede ser usado como dato final (dias vivo) considerando que el formulario del INEC pregunta por las existencias al momento de la encuesta, y no existe estadistica nacional para discretizar aquella población que vive menos de un año.</v>
      </c>
      <c r="E70" s="2069" t="str">
        <f>'3B Gestión Estiércol N2O Dir'!F53</f>
        <v>Se obtiene por defecto de la tabla 10.19 directrices IPCC V4 CH 10, para ganado de la sierra se considera productividad media, en tanto para las otras regiones se considera productividad baja</v>
      </c>
      <c r="F70" s="2069" t="str">
        <f>'3B Gestión Estiércol N2O Dir'!G53</f>
        <v>Valor por defecto directrices IPCC tabla 10A.10</v>
      </c>
      <c r="G70" s="2069" t="str">
        <f>'3B Gestión Estiércol N2O Dir'!H53</f>
        <v>Valor por defecto Tablas 10A.6 a 10A.9 directrices IPCC V4, Otros al no ser relevante suma los demás sistemas no considerados individualmente</v>
      </c>
      <c r="H70" s="2069" t="str">
        <f>'3B Gestión Estiércol N2O Dir'!I53</f>
        <v>Factor de emisión por defecto tablas 10.21 directrices IPCC V4, en algunos casos se asemejan factores según similitud de sistemas de manejo y tipo de clima por región</v>
      </c>
      <c r="I70" s="2070"/>
      <c r="J70" s="2070"/>
      <c r="K70" s="2070"/>
      <c r="L70" s="2070"/>
      <c r="M70" s="2070"/>
      <c r="N70" s="2067" t="s">
        <v>43</v>
      </c>
      <c r="O70" s="2067"/>
      <c r="P70" s="2067"/>
      <c r="Q70" s="2067"/>
      <c r="R70" s="2067"/>
      <c r="S70" s="2067"/>
      <c r="T70" s="2067"/>
      <c r="U70" s="2067"/>
      <c r="V70" s="2067"/>
      <c r="W70" s="2067"/>
      <c r="X70" s="2067"/>
      <c r="Y70" s="2067"/>
      <c r="Z70" s="2067"/>
    </row>
    <row r="71" spans="2:26">
      <c r="B71" s="1778" t="str" cm="1">
        <f t="array" ref="B71">'3B Gestión Estiércol N2O Dir'!C54:C54</f>
        <v>Cerdos</v>
      </c>
      <c r="C71" s="2069" t="str">
        <f>'3B Gestión Estiércol N2O Dir'!D54</f>
        <v>ESPAC 2018 , tabla 57</v>
      </c>
      <c r="D71" s="2069" t="str">
        <f>'3B Gestión Estiércol N2O Dir'!E54</f>
        <v>Se usa el dato de existencias, para afinar la estadistica de "dias vivo", el periodo de dias vivo se consideran 27 semanas</v>
      </c>
      <c r="E71" s="2069" t="str">
        <f>'3B Gestión Estiércol N2O Dir'!F54</f>
        <v>Se obtiene por defecto de la tabla 10.19 directrices IPCC V4 CH 10, para ganado de la sierra se considera productividad media, en tanto para las otras regiones se considera productividad baja</v>
      </c>
      <c r="F71" s="2069" t="str">
        <f>'3B Gestión Estiércol N2O Dir'!G54</f>
        <v>Valor por defecto directrices IPCC tabla 10A.11</v>
      </c>
      <c r="G71" s="2069" t="str">
        <f>'3B Gestión Estiércol N2O Dir'!H54</f>
        <v>Valor por defecto Tablas 10A.6 a 10A.9 directrices IPCC V4, Otros al no ser relevante suma los demás sistemas no considerados individualmente</v>
      </c>
      <c r="H71" s="2069" t="str">
        <f>'3B Gestión Estiércol N2O Dir'!I54</f>
        <v>Factor de emisión por defecto tablas 10.21 directrices IPCC V4, en algunos casos se asemejan factores según similitud de sistemas de manejo y tipo de clima por región</v>
      </c>
      <c r="I71" s="2070"/>
      <c r="J71" s="2070"/>
      <c r="K71" s="2070"/>
      <c r="L71" s="2070"/>
      <c r="M71" s="2070"/>
      <c r="N71" s="2067" t="s">
        <v>43</v>
      </c>
      <c r="O71" s="2067"/>
      <c r="P71" s="2067"/>
      <c r="Q71" s="2067"/>
      <c r="R71" s="2067"/>
      <c r="S71" s="2067"/>
      <c r="T71" s="2067"/>
      <c r="U71" s="2067"/>
      <c r="V71" s="2067"/>
      <c r="W71" s="2067"/>
      <c r="X71" s="2067"/>
      <c r="Y71" s="2067"/>
      <c r="Z71" s="2067"/>
    </row>
    <row r="72" spans="2:26">
      <c r="B72" s="1778" t="str" cm="1">
        <f t="array" ref="B72">'3B Gestión Estiércol N2O Dir'!C55:C55</f>
        <v>Aves de engorde</v>
      </c>
      <c r="C72" s="2069" t="str">
        <f>'3B Gestión Estiércol N2O Dir'!D55</f>
        <v>Datos de CONAVE</v>
      </c>
      <c r="D72" s="2069" t="str">
        <f>'3B Gestión Estiércol N2O Dir'!E55</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72" s="2069" t="str">
        <f>'3B Gestión Estiércol N2O Dir'!F55</f>
        <v>Se obtiene por defecto de la tabla 10.19 directrices IPCC V4, para todas las regiones se considera productividad media (relacionando sistemas de producción referenciados en las directrices IPCC)</v>
      </c>
      <c r="F72" s="2069" t="str">
        <f>'3B Gestión Estiércol N2O Dir'!G55</f>
        <v>Valor por defecto directrices IPCC tabla 10A.12</v>
      </c>
      <c r="G72" s="2069" t="str">
        <f>'3B Gestión Estiércol N2O Dir'!H55</f>
        <v>Valor por defecto Tablas 10A.6 a 10A.9 directrices IPCC V4, Otros al no ser relevante suma los demás sistemas no considerados individualmente</v>
      </c>
      <c r="H72" s="2069" t="str">
        <f>'3B Gestión Estiércol N2O Dir'!I55</f>
        <v>Factor de emisión por defecto tablas 10.21 directrices IPCC V4, en algunos casos se asemejan factores según similitud de sistemas de manejo y tipo de clima por región</v>
      </c>
      <c r="I72" s="2071"/>
      <c r="J72" s="2071"/>
      <c r="K72" s="2071"/>
      <c r="L72" s="2071"/>
      <c r="M72" s="2071"/>
      <c r="N72" s="2067" t="s">
        <v>43</v>
      </c>
      <c r="O72" s="2068"/>
      <c r="P72" s="2068"/>
      <c r="Q72" s="2068"/>
      <c r="R72" s="2068"/>
      <c r="S72" s="2068"/>
      <c r="T72" s="2068"/>
      <c r="U72" s="2068"/>
      <c r="V72" s="2068"/>
      <c r="W72" s="2068"/>
      <c r="X72" s="2068"/>
      <c r="Y72" s="2068"/>
      <c r="Z72" s="2068"/>
    </row>
    <row r="73" spans="2:26">
      <c r="B73" s="1778" t="str" cm="1">
        <f t="array" ref="B73">'3B Gestión Estiércol N2O Dir'!C56:C56</f>
        <v>Ponedoras</v>
      </c>
      <c r="C73" s="2069" t="str">
        <f>'3B Gestión Estiércol N2O Dir'!D56</f>
        <v>Datos de CONAVE</v>
      </c>
      <c r="D73" s="2069" t="str">
        <f>'3B Gestión Estiércol N2O Dir'!E56</f>
        <v>Corresponde al dato de número de cabezas de patos criados en campo</v>
      </c>
      <c r="E73" s="2069" t="str">
        <f>'3B Gestión Estiércol N2O Dir'!F56</f>
        <v>Se obtiene por defecto de la tabla 10.19 directrices IPCC V4, para todas las regiones se considera productividad media (relacionando sistemas de producción referenciados en las directrices IPCC)</v>
      </c>
      <c r="F73" s="2069" t="str">
        <f>'3B Gestión Estiércol N2O Dir'!G56</f>
        <v>Valor por defecto directrices IPCC tabla 10A.13</v>
      </c>
      <c r="G73" s="2069" t="str">
        <f>'3B Gestión Estiércol N2O Dir'!H56</f>
        <v>Valor por defecto Tablas 10A.6 a 10A.9 directrices IPCC V4, Otros al no ser relevante suma los demás sistemas no considerados individualmente</v>
      </c>
      <c r="H73" s="2069" t="str">
        <f>'3B Gestión Estiércol N2O Dir'!I56</f>
        <v>Factor de emisión por defecto tablas 10.21 directrices IPCC V4, en algunos casos se asemejan factores según similitud de sistemas de manejo y tipo de clima por región</v>
      </c>
      <c r="I73" s="2071"/>
      <c r="J73" s="2071"/>
      <c r="K73" s="2071"/>
      <c r="L73" s="2071"/>
      <c r="M73" s="2071"/>
      <c r="N73" s="2067" t="s">
        <v>43</v>
      </c>
      <c r="O73" s="2068"/>
      <c r="P73" s="2068"/>
      <c r="Q73" s="2068"/>
      <c r="R73" s="2068"/>
      <c r="S73" s="2068"/>
      <c r="T73" s="2068"/>
      <c r="U73" s="2068"/>
      <c r="V73" s="2068"/>
      <c r="W73" s="2068"/>
      <c r="X73" s="2068"/>
      <c r="Y73" s="2068"/>
      <c r="Z73" s="2068"/>
    </row>
    <row r="74" spans="2:26">
      <c r="B74" s="1778" t="str" cm="1">
        <f t="array" ref="B74">'3B Gestión Estiércol N2O Dir'!C57:C57</f>
        <v>Patos</v>
      </c>
      <c r="C74" s="2069" t="str">
        <f>'3B Gestión Estiércol N2O Dir'!D57</f>
        <v>ESPAC 2018 , tabla 62,63</v>
      </c>
      <c r="D74" s="2069" t="str">
        <f>'3B Gestión Estiércol N2O Dir'!E57</f>
        <v>Corresponde a la suma de aves criadas en campo (pavos) + aves criadas en planteles avícolas (pavos)</v>
      </c>
      <c r="E74" s="2069" t="str">
        <f>'3B Gestión Estiércol N2O Dir'!F57</f>
        <v>Se obtiene por defecto de la tabla 10.19 directrices IPCC V4, para todas las regiones se considera productividad baja (relacionando sistemas de producción referenciados en las directrices IPCC)</v>
      </c>
      <c r="F74" s="2069" t="str">
        <f>'3B Gestión Estiércol N2O Dir'!G57</f>
        <v>Valor por defecto directrices IPCC tabla 10A.14</v>
      </c>
      <c r="G74" s="2069" t="str">
        <f>'3B Gestión Estiércol N2O Dir'!H57</f>
        <v>Valor por defecto Tablas 10A.6 a 10A.9 directrices IPCC V4, Otros al no ser relevante suma los demás sistemas no considerados individualmente</v>
      </c>
      <c r="H74" s="2069" t="str">
        <f>'3B Gestión Estiércol N2O Dir'!I57</f>
        <v>Factor de emisión por defecto tablas 10.21 directrices IPCC V4, en algunos casos se asemejan factores según similitud de sistemas de manejo y tipo de clima por región</v>
      </c>
      <c r="I74" s="2071"/>
      <c r="J74" s="2071"/>
      <c r="K74" s="2071"/>
      <c r="L74" s="2071"/>
      <c r="M74" s="2071"/>
      <c r="N74" s="2067" t="s">
        <v>43</v>
      </c>
      <c r="O74" s="2068"/>
      <c r="P74" s="2068"/>
      <c r="Q74" s="2068"/>
      <c r="R74" s="2068"/>
      <c r="S74" s="2068"/>
      <c r="T74" s="2068"/>
      <c r="U74" s="2068"/>
      <c r="V74" s="2068"/>
      <c r="W74" s="2068"/>
      <c r="X74" s="2068"/>
      <c r="Y74" s="2068"/>
      <c r="Z74" s="2068"/>
    </row>
    <row r="75" spans="2:26">
      <c r="B75" s="1778" t="str" cm="1">
        <f t="array" ref="B75">'3B Gestión Estiércol N2O Dir'!C58:C58</f>
        <v>Pavos</v>
      </c>
      <c r="C75" s="2069" t="str">
        <f>'3B Gestión Estiércol N2O Dir'!D58</f>
        <v>ESPAC 2018 , tabla 62,63</v>
      </c>
      <c r="D75" s="2069" t="str">
        <f>'3B Gestión Estiércol N2O Dir'!E58</f>
        <v>Corresponde al dato de número de cabezas de ponedoras en planteles avícolas</v>
      </c>
      <c r="E75" s="2069" t="str">
        <f>'3B Gestión Estiércol N2O Dir'!F58</f>
        <v>Se obtiene por defecto de la tabla 10.19 directrices IPCC V4, para todas las regiones se considera productividad baja (relacionando sistemas de producción referenciados en las directrices IPCC)</v>
      </c>
      <c r="F75" s="2069" t="str">
        <f>'3B Gestión Estiércol N2O Dir'!G58</f>
        <v>Valor por defecto directrices IPCC tabla 10A.15</v>
      </c>
      <c r="G75" s="2069" t="str">
        <f>'3B Gestión Estiércol N2O Dir'!H58</f>
        <v>Valor por defecto Tablas 10A.6 a 10A.9 directrices IPCC V4, Otros al no ser relevante suma los demás sistemas no considerados individualmente</v>
      </c>
      <c r="H75" s="2069" t="str">
        <f>'3B Gestión Estiércol N2O Dir'!I58</f>
        <v>Factor de emisión por defecto tablas 10.21 directrices IPCC V4, en algunos casos se asemejan factores según similitud de sistemas de manejo y tipo de clima por región</v>
      </c>
      <c r="I75" s="2072"/>
      <c r="J75" s="2072"/>
      <c r="K75" s="2072"/>
      <c r="L75" s="2072"/>
      <c r="M75" s="2072"/>
      <c r="N75" s="2067" t="s">
        <v>43</v>
      </c>
      <c r="O75" s="2053"/>
      <c r="P75" s="2053"/>
      <c r="Q75" s="2053"/>
      <c r="R75" s="2053"/>
      <c r="S75" s="2053"/>
      <c r="T75" s="2053"/>
      <c r="U75" s="2053"/>
      <c r="V75" s="2053"/>
      <c r="W75" s="2053"/>
      <c r="X75" s="2053"/>
      <c r="Y75" s="2053"/>
      <c r="Z75" s="2053"/>
    </row>
  </sheetData>
  <conditionalFormatting sqref="Y4">
    <cfRule type="expression" dxfId="6" priority="1">
      <formula>"&lt;0,01"</formula>
    </cfRule>
  </conditionalFormatting>
  <dataValidations count="1">
    <dataValidation allowBlank="1" showInputMessage="1" showErrorMessage="1" sqref="E5 E7 F5:F8 G5:Q5 Y44:Y74 G7:Q8 E28:Q49 C5:D49 E9:E27 R22:Z43 R44:X49 F10:Q27 R5:IZ21 A1:XFD4 B5:B65555 AA22:IZ65415 Z44:Z65422 I61:L74 I75:Y65422 C61:H65422 C59:L60 M59:X74" xr:uid="{4998951A-B470-4A48-B35E-27832E98CEE5}"/>
  </dataValidations>
  <hyperlinks>
    <hyperlink ref="B4" location="Index" display="Back to Index" xr:uid="{AFD8A309-7A4D-44D0-B9B1-8A15FA0540CB}"/>
  </hyperlinks>
  <printOptions horizontalCentered="1" verticalCentered="1"/>
  <pageMargins left="0.39370078740157483" right="0.39370078740157483" top="0.39370078740157483" bottom="0.39370078740157483" header="0.19685039370078741" footer="0.19685039370078741"/>
  <pageSetup paperSize="9" scale="71" fitToHeight="0" orientation="landscape" r:id="rId1"/>
  <headerFooter alignWithMargins="0">
    <oddFooter>&amp;L&amp;A</oddFooter>
  </headerFooter>
  <rowBreaks count="1" manualBreakCount="1">
    <brk id="41" min="1" max="25"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3769-6C67-4B2E-ADEE-3121D1E9ED83}">
  <sheetPr>
    <tabColor theme="5" tint="-0.499984740745262"/>
    <pageSetUpPr fitToPage="1"/>
  </sheetPr>
  <dimension ref="A1:I47"/>
  <sheetViews>
    <sheetView showGridLines="0" topLeftCell="A7" zoomScaleNormal="100" zoomScaleSheetLayoutView="100" workbookViewId="0">
      <selection activeCell="I7" sqref="I7"/>
    </sheetView>
  </sheetViews>
  <sheetFormatPr defaultColWidth="8.4140625" defaultRowHeight="12" customHeight="1"/>
  <cols>
    <col min="1" max="1" width="1.6640625" style="929" customWidth="1"/>
    <col min="2" max="2" width="28" style="929" customWidth="1"/>
    <col min="3" max="3" width="18.83203125" style="929" customWidth="1"/>
    <col min="4" max="5" width="12.4140625" style="929" customWidth="1"/>
    <col min="6" max="6" width="18.83203125" style="929" customWidth="1"/>
    <col min="7" max="7" width="15.83203125" style="929" customWidth="1"/>
    <col min="8" max="16384" width="8.4140625" style="929"/>
  </cols>
  <sheetData>
    <row r="1" spans="1:9" ht="15.75" customHeight="1">
      <c r="B1" s="930" t="s">
        <v>1679</v>
      </c>
      <c r="G1" s="931" t="s">
        <v>1455</v>
      </c>
      <c r="H1" s="929">
        <v>2018</v>
      </c>
    </row>
    <row r="2" spans="1:9" ht="15.75" customHeight="1">
      <c r="B2" s="930" t="s">
        <v>1680</v>
      </c>
      <c r="G2" s="931" t="s">
        <v>1457</v>
      </c>
    </row>
    <row r="3" spans="1:9" ht="15.75" customHeight="1" thickBot="1">
      <c r="B3" s="930" t="s">
        <v>1456</v>
      </c>
      <c r="G3" s="931" t="s">
        <v>1458</v>
      </c>
      <c r="H3" s="929" t="s">
        <v>2243</v>
      </c>
    </row>
    <row r="4" spans="1:9" ht="12" hidden="1" customHeight="1">
      <c r="A4" s="1536"/>
      <c r="B4" s="930"/>
      <c r="G4" s="931"/>
    </row>
    <row r="5" spans="1:9" ht="12" hidden="1" customHeight="1">
      <c r="A5" s="1536"/>
      <c r="B5" s="930"/>
      <c r="G5" s="931"/>
    </row>
    <row r="6" spans="1:9" ht="12" customHeight="1" thickBot="1">
      <c r="B6" s="932" t="s">
        <v>1459</v>
      </c>
      <c r="F6" s="2049" t="str">
        <f>IF(G6-RESULTADOS!C38&lt;0.0001,"OK","NO")</f>
        <v>OK</v>
      </c>
      <c r="G6" s="2047">
        <f>G15+G18+G10</f>
        <v>37.734055555402222</v>
      </c>
    </row>
    <row r="7" spans="1:9" ht="37">
      <c r="B7" s="1537" t="s">
        <v>1460</v>
      </c>
      <c r="C7" s="1171" t="s">
        <v>1521</v>
      </c>
      <c r="D7" s="1171"/>
      <c r="E7" s="1172"/>
      <c r="F7" s="1538" t="s">
        <v>1681</v>
      </c>
      <c r="G7" s="1539" t="s">
        <v>1523</v>
      </c>
    </row>
    <row r="8" spans="1:9" ht="14">
      <c r="B8" s="1540" t="s">
        <v>1468</v>
      </c>
      <c r="C8" s="1541" t="s">
        <v>1682</v>
      </c>
      <c r="D8" s="1365" t="s">
        <v>1683</v>
      </c>
      <c r="E8" s="1356"/>
      <c r="F8" s="1542" t="s">
        <v>1684</v>
      </c>
      <c r="G8" s="1543" t="s">
        <v>1684</v>
      </c>
    </row>
    <row r="9" spans="1:9" ht="14.5" thickBot="1">
      <c r="B9" s="1544"/>
      <c r="C9" s="1545" t="s">
        <v>1685</v>
      </c>
      <c r="D9" s="1546" t="s">
        <v>1686</v>
      </c>
      <c r="E9" s="1547" t="s">
        <v>1687</v>
      </c>
      <c r="F9" s="1548" t="s">
        <v>1688</v>
      </c>
      <c r="G9" s="1549" t="s">
        <v>1469</v>
      </c>
    </row>
    <row r="10" spans="1:9" ht="18" customHeight="1" thickTop="1">
      <c r="B10" s="1550" t="s">
        <v>1689</v>
      </c>
      <c r="C10" s="1551"/>
      <c r="D10" s="1552"/>
      <c r="E10" s="1553"/>
      <c r="F10" s="1554"/>
      <c r="G10" s="1605">
        <f>G12</f>
        <v>8.9369806116788997</v>
      </c>
    </row>
    <row r="11" spans="1:9" ht="18" customHeight="1">
      <c r="B11" s="1555" t="s">
        <v>1690</v>
      </c>
      <c r="C11" s="1588" t="s">
        <v>2213</v>
      </c>
      <c r="D11" s="1139" t="s">
        <v>2213</v>
      </c>
      <c r="E11" s="1589" t="s">
        <v>2213</v>
      </c>
      <c r="F11" s="1600" t="s">
        <v>41</v>
      </c>
      <c r="G11" s="2003" t="s">
        <v>2213</v>
      </c>
    </row>
    <row r="12" spans="1:9" ht="18" customHeight="1">
      <c r="B12" s="1435" t="s">
        <v>1691</v>
      </c>
      <c r="C12" s="1594">
        <f>C14</f>
        <v>84518.839571997887</v>
      </c>
      <c r="D12" s="1594" t="str">
        <f t="shared" ref="D12:E12" si="0">D14</f>
        <v>Dry</v>
      </c>
      <c r="E12" s="1595">
        <f t="shared" si="0"/>
        <v>5.3806392306077104E-3</v>
      </c>
      <c r="F12" s="1596">
        <f>'3C7 Arroz'!P15</f>
        <v>0.85273797715049959</v>
      </c>
      <c r="G12" s="1602">
        <f>G14</f>
        <v>8.9369806116788997</v>
      </c>
      <c r="I12" s="1557"/>
    </row>
    <row r="13" spans="1:9" ht="18" customHeight="1">
      <c r="B13" s="1558" t="s">
        <v>1692</v>
      </c>
      <c r="C13" s="1593" t="s">
        <v>2213</v>
      </c>
      <c r="D13" s="1139" t="s">
        <v>2213</v>
      </c>
      <c r="E13" s="1589" t="s">
        <v>2213</v>
      </c>
      <c r="F13" s="1598" t="s">
        <v>41</v>
      </c>
      <c r="G13" s="1603" t="s">
        <v>2213</v>
      </c>
      <c r="I13" s="1557"/>
    </row>
    <row r="14" spans="1:9" ht="18" customHeight="1" thickBot="1">
      <c r="B14" s="1559" t="s">
        <v>1693</v>
      </c>
      <c r="C14" s="1588">
        <f>'3C7 Arroz'!E15</f>
        <v>84518.839571997887</v>
      </c>
      <c r="D14" s="1139" t="s">
        <v>1703</v>
      </c>
      <c r="E14" s="1589">
        <f>'3C7 Arroz'!J15</f>
        <v>5.3806392306077104E-3</v>
      </c>
      <c r="F14" s="1597">
        <f>F12</f>
        <v>0.85273797715049959</v>
      </c>
      <c r="G14" s="1604">
        <f>'3C7 Arroz'!Q15</f>
        <v>8.9369806116788997</v>
      </c>
    </row>
    <row r="15" spans="1:9" ht="18" customHeight="1">
      <c r="B15" s="1561" t="s">
        <v>1694</v>
      </c>
      <c r="C15" s="1590"/>
      <c r="D15" s="1591"/>
      <c r="E15" s="1592"/>
      <c r="F15" s="1599"/>
      <c r="G15" s="1605">
        <f>G16</f>
        <v>27.856951009248007</v>
      </c>
    </row>
    <row r="16" spans="1:9" ht="18" customHeight="1">
      <c r="B16" s="1555" t="s">
        <v>1695</v>
      </c>
      <c r="C16" s="1588">
        <f>'3C7 Arroz'!E18</f>
        <v>135833.84931213947</v>
      </c>
      <c r="D16" s="1139" t="s">
        <v>1703</v>
      </c>
      <c r="E16" s="1589">
        <f>'3C7 Arroz'!J18</f>
        <v>5.3806392306077104E-3</v>
      </c>
      <c r="F16" s="1596">
        <f>'3C7 Arroz'!P18</f>
        <v>1.6538795878743073</v>
      </c>
      <c r="G16" s="1606">
        <f>'3C7 Arroz'!Q18</f>
        <v>27.856951009248007</v>
      </c>
    </row>
    <row r="17" spans="2:7" ht="18" customHeight="1" thickBot="1">
      <c r="B17" s="1566" t="s">
        <v>1696</v>
      </c>
      <c r="C17" s="1593" t="s">
        <v>2213</v>
      </c>
      <c r="D17" s="1139" t="s">
        <v>2213</v>
      </c>
      <c r="E17" s="1589" t="s">
        <v>2213</v>
      </c>
      <c r="F17" s="1601" t="s">
        <v>41</v>
      </c>
      <c r="G17" s="1604" t="s">
        <v>2213</v>
      </c>
    </row>
    <row r="18" spans="2:7" ht="18" customHeight="1">
      <c r="B18" s="1561" t="s">
        <v>1697</v>
      </c>
      <c r="C18" s="1590"/>
      <c r="D18" s="1591"/>
      <c r="E18" s="1592"/>
      <c r="F18" s="1599"/>
      <c r="G18" s="1605">
        <f>G20</f>
        <v>0.94012393447531306</v>
      </c>
    </row>
    <row r="19" spans="2:7" ht="18" customHeight="1">
      <c r="B19" s="1555" t="s">
        <v>1698</v>
      </c>
      <c r="C19" s="1593" t="s">
        <v>2213</v>
      </c>
      <c r="D19" s="1593" t="s">
        <v>2213</v>
      </c>
      <c r="E19" s="1593" t="s">
        <v>2213</v>
      </c>
      <c r="F19" s="1600" t="s">
        <v>41</v>
      </c>
      <c r="G19" s="1606" t="s">
        <v>2213</v>
      </c>
    </row>
    <row r="20" spans="2:7" ht="18" customHeight="1" thickBot="1">
      <c r="B20" s="1566" t="s">
        <v>1699</v>
      </c>
      <c r="C20" s="1588">
        <f>'3C7 Arroz'!E21</f>
        <v>81500.309587283686</v>
      </c>
      <c r="D20" s="1139" t="s">
        <v>1703</v>
      </c>
      <c r="E20" s="1589">
        <f>'3C7 Arroz'!J21</f>
        <v>5.3806392306077104E-3</v>
      </c>
      <c r="F20" s="1597">
        <f>'3C7 Arroz'!P21</f>
        <v>9.3025961143690855E-2</v>
      </c>
      <c r="G20" s="1604">
        <f>'3C7 Arroz'!Q21</f>
        <v>0.94012393447531306</v>
      </c>
    </row>
    <row r="21" spans="2:7" ht="18" customHeight="1">
      <c r="B21" s="1567" t="s">
        <v>1700</v>
      </c>
      <c r="C21" s="1562"/>
      <c r="D21" s="1563"/>
      <c r="E21" s="1564"/>
      <c r="F21" s="1565"/>
      <c r="G21" s="1607" t="s">
        <v>2212</v>
      </c>
    </row>
    <row r="22" spans="2:7" ht="18" customHeight="1" thickBot="1">
      <c r="B22" s="1568"/>
      <c r="C22" s="1556"/>
      <c r="D22" s="988"/>
      <c r="E22" s="1089"/>
      <c r="F22" s="1560"/>
      <c r="G22" s="1569"/>
    </row>
    <row r="23" spans="2:7" ht="18" customHeight="1" thickBot="1">
      <c r="B23" s="1570"/>
      <c r="C23" s="1571"/>
      <c r="D23" s="1571"/>
      <c r="E23" s="1571"/>
      <c r="F23" s="1571"/>
      <c r="G23" s="1572"/>
    </row>
    <row r="24" spans="2:7" ht="18" customHeight="1">
      <c r="B24" s="1573" t="s">
        <v>1701</v>
      </c>
      <c r="C24" s="2001" t="s">
        <v>41</v>
      </c>
      <c r="D24" s="1574"/>
      <c r="E24" s="1575"/>
      <c r="F24" s="1575"/>
      <c r="G24" s="1576"/>
    </row>
    <row r="25" spans="2:7" ht="18" customHeight="1" thickBot="1">
      <c r="B25" s="1577" t="s">
        <v>1702</v>
      </c>
      <c r="C25" s="2002">
        <f>G18+G15+G10</f>
        <v>37.734055555402222</v>
      </c>
      <c r="D25" s="1578"/>
      <c r="E25" s="1579"/>
      <c r="F25" s="1580"/>
      <c r="G25" s="1581"/>
    </row>
    <row r="27" spans="2:7" ht="14">
      <c r="B27" s="1582"/>
      <c r="C27" s="1582"/>
      <c r="D27" s="1582"/>
      <c r="E27" s="1582"/>
      <c r="F27" s="1582"/>
    </row>
    <row r="28" spans="2:7" ht="14">
      <c r="B28" s="1582"/>
      <c r="C28" s="1582"/>
      <c r="D28" s="1582"/>
      <c r="E28" s="1582"/>
      <c r="F28" s="1582"/>
    </row>
    <row r="29" spans="2:7" ht="14">
      <c r="B29" s="1582"/>
      <c r="C29" s="1582"/>
      <c r="D29" s="1582"/>
      <c r="E29" s="1582"/>
      <c r="F29" s="1582"/>
    </row>
    <row r="30" spans="2:7" ht="14">
      <c r="B30" s="1582"/>
      <c r="C30" s="1582"/>
      <c r="D30" s="1582"/>
      <c r="E30" s="1582"/>
      <c r="F30" s="1582"/>
    </row>
    <row r="31" spans="2:7" ht="14">
      <c r="B31" s="1582"/>
      <c r="C31" s="1582"/>
      <c r="D31" s="1582"/>
      <c r="E31" s="1582"/>
      <c r="F31" s="1582"/>
    </row>
    <row r="32" spans="2:7" ht="14">
      <c r="B32" s="1311"/>
      <c r="C32" s="1311"/>
      <c r="D32" s="1311"/>
      <c r="E32" s="1311"/>
      <c r="F32" s="1311"/>
    </row>
    <row r="33" spans="2:8" ht="14.5" thickBot="1">
      <c r="B33" s="1311"/>
      <c r="C33" s="1311"/>
      <c r="D33" s="1311"/>
      <c r="E33" s="1311"/>
      <c r="F33" s="1311"/>
    </row>
    <row r="34" spans="2:8" ht="13">
      <c r="B34" s="1052" t="s">
        <v>1516</v>
      </c>
      <c r="C34" s="1134"/>
      <c r="D34" s="1134"/>
      <c r="E34" s="1134"/>
      <c r="F34" s="1134"/>
      <c r="G34" s="1135"/>
    </row>
    <row r="35" spans="2:8" ht="13">
      <c r="B35" s="1061" t="str">
        <f>'3C7 Arroz'!C30</f>
        <v>Dato</v>
      </c>
      <c r="C35" s="1061" t="str">
        <f>'3C7 Arroz'!E30</f>
        <v>Tipo</v>
      </c>
      <c r="D35" s="1061" t="str">
        <f>'3C7 Arroz'!F30</f>
        <v>Fuente</v>
      </c>
      <c r="E35" s="1061" t="str">
        <f>'3C7 Arroz'!G30</f>
        <v>Observaciones</v>
      </c>
      <c r="F35" s="2055"/>
      <c r="G35" s="1061"/>
      <c r="H35" s="929" t="s">
        <v>43</v>
      </c>
    </row>
    <row r="36" spans="2:8" ht="13">
      <c r="B36" s="2036" t="str">
        <f>'3C7 Arroz'!C31</f>
        <v>Area Cosechada Anual -- Irrigado</v>
      </c>
      <c r="C36" s="2036" t="str">
        <f>'3C7 Arroz'!E31</f>
        <v>Dato de Actividad</v>
      </c>
      <c r="D36" s="2036" t="str">
        <f>'3C7 Arroz'!F31</f>
        <v>El dato base total se toma de la ESPAC 2018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6" s="2036" t="str">
        <f>'3C7 Arroz'!G31</f>
        <v>La asignación de ecosistemas fue conversada y definida con especialistas del MAG según las caracteristicas de producción en cada cuatrimestre reportado, los % de area cultivada según el MAG son aplicados al total generado en la ESPAC.</v>
      </c>
      <c r="F36" s="2055"/>
      <c r="G36" s="2036"/>
      <c r="H36" s="929" t="s">
        <v>43</v>
      </c>
    </row>
    <row r="37" spans="2:8" ht="13">
      <c r="B37" s="2036" t="str">
        <f>'3C7 Arroz'!C32</f>
        <v>Area Cosechada Anual -- Aguas profundas</v>
      </c>
      <c r="C37" s="2036" t="str">
        <f>'3C7 Arroz'!E32</f>
        <v>Dato de Actividad</v>
      </c>
      <c r="D37" s="2036" t="str">
        <f>'3C7 Arroz'!F32</f>
        <v>El dato base total se toma de la ESPAC 2018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7" s="2036" t="str">
        <f>'3C7 Arroz'!G32</f>
        <v>La asignación de ecosistemas fue conversada y definida con especialistas del MAG según las caracteristicas de producción en cada cuatrimestre reportado, los % de area cultivada según el MAG son aplicados al total generado en la ESPAC.</v>
      </c>
      <c r="F37" s="2055"/>
      <c r="G37" s="2036"/>
      <c r="H37" s="929" t="s">
        <v>43</v>
      </c>
    </row>
    <row r="38" spans="2:8" ht="13">
      <c r="B38" s="2036" t="str">
        <f>'3C7 Arroz'!C33</f>
        <v>Area Cosechada Anual -- Tierras Altas</v>
      </c>
      <c r="C38" s="2036" t="str">
        <f>'3C7 Arroz'!E33</f>
        <v>Dato de Actividad</v>
      </c>
      <c r="D38" s="2036" t="str">
        <f>'3C7 Arroz'!F33</f>
        <v>El dato base total se toma de la ESPAC 2018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8" s="2036" t="str">
        <f>'3C7 Arroz'!G33</f>
        <v>La asignación de ecosistemas fue conversada y definida con especialistas del MAG según las caracteristicas de producción en cada cuatrimestre reportado, los % de area cultivada según el MAG son aplicados al total generado en la ESPAC.</v>
      </c>
      <c r="F38" s="2055"/>
      <c r="G38" s="2036"/>
      <c r="H38" s="929" t="s">
        <v>43</v>
      </c>
    </row>
    <row r="39" spans="2:8" ht="13">
      <c r="B39" s="2036" t="str">
        <f>'3C7 Arroz'!C34</f>
        <v>Periodo de cultivo del arroz</v>
      </c>
      <c r="C39" s="2036" t="str">
        <f>'3C7 Arroz'!E34</f>
        <v>Factor intermedio</v>
      </c>
      <c r="D39" s="2036" t="str">
        <f>'3C7 Arroz'!F34</f>
        <v>Directrices del IPCC de 2006 para los inventarios nacionales de gases de efecto invernadero, Vol 4, Cap 5 (tabla 5.11 p. 5.57) VERSIÓN REFINAMIENTO 2019</v>
      </c>
      <c r="E39" s="2036" t="str">
        <f>'3C7 Arroz'!G34</f>
        <v>Los datos de periodo por cuatrimestre tratados con el MAG presentan  variaciones según temporada, provincia y circunstancias climáticas, por lo que se decide adoptar el dato recomendada para América del sur por el IPCC</v>
      </c>
      <c r="F39" s="2055"/>
      <c r="G39" s="2036"/>
      <c r="H39" s="929" t="s">
        <v>43</v>
      </c>
    </row>
    <row r="40" spans="2:8" ht="13">
      <c r="B40" s="2036" t="str">
        <f>'3C7 Arroz'!C35</f>
        <v>Factor de emisión de línea de base para campos continuamente inundados sin enmiendas orgánicas</v>
      </c>
      <c r="C40" s="2036" t="str">
        <f>'3C7 Arroz'!E35</f>
        <v>Factor intermedio</v>
      </c>
      <c r="D40" s="2036" t="str">
        <f>'3C7 Arroz'!F35</f>
        <v>Directrices del IPCC de 2006 para los inventarios nacionales de gases de efecto invernadero, Vol 4, Cap 5 (tabla 5.11 p. 5.57) VERSIÓN REFINAMIENTO 2019</v>
      </c>
      <c r="E40" s="2036">
        <f>'3C7 Arroz'!G35</f>
        <v>0</v>
      </c>
      <c r="F40" s="2055"/>
      <c r="G40" s="2036"/>
      <c r="H40" s="929" t="s">
        <v>43</v>
      </c>
    </row>
    <row r="41" spans="2:8" ht="13">
      <c r="B41" s="2036" t="str">
        <f>'3C7 Arroz'!C36</f>
        <v>Factor de escala para tener en cuenta las diferencias en el régimen del agua durante el período de cultivo</v>
      </c>
      <c r="C41" s="2036" t="str">
        <f>'3C7 Arroz'!E36</f>
        <v>Factor intermedio</v>
      </c>
      <c r="D41" s="2036" t="str">
        <f>'3C7 Arroz'!F36</f>
        <v xml:space="preserve">Directrices del IPCC de 2006 para los inventarios nacionales de gases de efecto invernadero, Vol 4, Cap 5 (tabla 5.12 updated refinamiento 2019) </v>
      </c>
      <c r="E41" s="2036" t="str">
        <f>'3C7 Arroz'!G36</f>
        <v>Las consideraciones para la asignación de ecosistemas fueron conversadas con los especialistas del MAG respecto de las caracteristicas de los periodos reportados (3 cuatrimestres)</v>
      </c>
      <c r="F41" s="2055"/>
      <c r="G41" s="2036"/>
      <c r="H41" s="929" t="s">
        <v>43</v>
      </c>
    </row>
    <row r="42" spans="2:8" ht="13">
      <c r="B42" s="2036" t="str">
        <f>'3C7 Arroz'!C37</f>
        <v>Factor de escala para tener en cuenta las diferencias en el régimen hídrico en la pretemporada antes del período de cultivo</v>
      </c>
      <c r="C42" s="2036" t="str">
        <f>'3C7 Arroz'!E37</f>
        <v>Factor intermedio</v>
      </c>
      <c r="D42" s="2036" t="str">
        <f>'3C7 Arroz'!F37</f>
        <v xml:space="preserve">Directrices del IPCC de 2006 para los inventarios nacionales de gases de efecto invernadero, Vol 4, Cap 5 (tabla 5.13 Refinamiento 2019) </v>
      </c>
      <c r="E42" s="2036" t="str">
        <f>'3C7 Arroz'!G37</f>
        <v>Las condiciones analizadas para la asignación de factores consideran los datos climaticos y de precipitaciones durante el cuarimestre previo según las mismas consideraciones conversadas con el MAG y reportadas en sus informes cuatrimestrales generados por CGINA</v>
      </c>
      <c r="F42" s="2055"/>
      <c r="G42" s="2036"/>
      <c r="H42" s="929" t="s">
        <v>43</v>
      </c>
    </row>
    <row r="43" spans="2:8" ht="13">
      <c r="B43" s="2036" t="str">
        <f>'3C7 Arroz'!C38</f>
        <v>Ratio de aplicación de enmienda orgánica en el cultivo</v>
      </c>
      <c r="C43" s="2036" t="str">
        <f>'3C7 Arroz'!E38</f>
        <v>Factor intermedio</v>
      </c>
      <c r="D43" s="2036" t="str">
        <f>'3C7 Arroz'!F38</f>
        <v>Se obtiene de la división del total de fertilizante orgánico aplicado en arroz para el total de hectareas cultivadas por año</v>
      </c>
      <c r="E43" s="2036" t="str">
        <f>'3C7 Arroz'!G38</f>
        <v>No se diferencia el ratio por ecosistema debido a que no se dispone de información por periodo, se utiliza el mismo ratio anual para los tres cuatrimestres</v>
      </c>
      <c r="F43" s="2055"/>
      <c r="G43" s="2036"/>
      <c r="H43" s="929" t="s">
        <v>43</v>
      </c>
    </row>
    <row r="44" spans="2:8" ht="13">
      <c r="B44" s="2036" t="str">
        <f>'3C7 Arroz'!C39</f>
        <v>Factor de conversión de enmienda orgánica</v>
      </c>
      <c r="C44" s="2036" t="str">
        <f>'3C7 Arroz'!E39</f>
        <v>Factor intermedio</v>
      </c>
      <c r="D44" s="2036" t="str">
        <f>'3C7 Arroz'!F39</f>
        <v>Directrices del IPCC V4 CH5 tabla 5,14</v>
      </c>
      <c r="E44" s="2036" t="str">
        <f>'3C7 Arroz'!G39</f>
        <v>Según datos ESPAC la mayor parte de enmienda orgánica aplicada al arroz es estiercoles animales y liquidos por lo que se considera el uso del factor por "farm yard manure" proporcionado por el IPCC</v>
      </c>
      <c r="F44" s="2055"/>
      <c r="G44" s="2036"/>
      <c r="H44" s="929" t="s">
        <v>43</v>
      </c>
    </row>
    <row r="45" spans="2:8" ht="13.5" thickBot="1">
      <c r="B45" s="1061"/>
      <c r="C45" s="1583"/>
      <c r="D45" s="1583"/>
      <c r="E45" s="1583"/>
      <c r="F45" s="1583"/>
      <c r="G45" s="1584"/>
      <c r="H45" s="929" t="s">
        <v>43</v>
      </c>
    </row>
    <row r="46" spans="2:8" ht="12" customHeight="1" thickBot="1">
      <c r="B46" s="1585"/>
      <c r="C46" s="1586"/>
      <c r="D46" s="1586"/>
      <c r="E46" s="1586"/>
      <c r="F46" s="1586"/>
      <c r="G46" s="1587"/>
    </row>
    <row r="47" spans="2:8" ht="12" customHeight="1">
      <c r="B47" s="1136"/>
      <c r="C47" s="1136"/>
      <c r="D47" s="1136"/>
      <c r="E47" s="1136"/>
      <c r="F47" s="1136"/>
    </row>
  </sheetData>
  <conditionalFormatting sqref="F6">
    <cfRule type="expression" dxfId="5" priority="1">
      <formula>"&lt;0,01"</formula>
    </cfRule>
  </conditionalFormatting>
  <dataValidations count="1">
    <dataValidation allowBlank="1" showInputMessage="1" showErrorMessage="1" sqref="C47:F65533 G47:G1048576 C1:F31 G35:G44 B1:B65533 G1:G33 C35:E44 C34:G34 H1:IU1048576" xr:uid="{1FA9E6BB-17CC-4C52-94EF-D0CCC86C6C22}"/>
  </dataValidations>
  <hyperlinks>
    <hyperlink ref="B6" location="Index" display="Back to Index" xr:uid="{CA3B0516-9014-4FEF-88CB-DB6A51820A64}"/>
  </hyperlinks>
  <printOptions horizontalCentered="1" verticalCentered="1"/>
  <pageMargins left="0.39370078740157483" right="0.39370078740157483" top="0.39370078740157483" bottom="0.39370078740157483" header="0.19685039370078741" footer="0.19685039370078741"/>
  <pageSetup paperSize="9" scale="89" orientation="landscape" r:id="rId1"/>
  <headerFooter alignWithMargins="0">
    <oddFooter>&amp;L&amp;A</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7F08-EBD7-4799-9796-020693FB296E}">
  <sheetPr>
    <tabColor theme="5" tint="-0.249977111117893"/>
    <pageSetUpPr fitToPage="1"/>
  </sheetPr>
  <dimension ref="B1:J56"/>
  <sheetViews>
    <sheetView showGridLines="0" zoomScale="70" zoomScaleNormal="70" zoomScaleSheetLayoutView="110" workbookViewId="0">
      <selection activeCell="H20" sqref="H20"/>
    </sheetView>
  </sheetViews>
  <sheetFormatPr defaultColWidth="7.33203125" defaultRowHeight="12" customHeight="1"/>
  <cols>
    <col min="1" max="1" width="1.4140625" style="929" customWidth="1"/>
    <col min="2" max="2" width="40.5" style="929" customWidth="1"/>
    <col min="3" max="3" width="37.4140625" style="929" customWidth="1"/>
    <col min="4" max="4" width="15.1640625" style="929" customWidth="1"/>
    <col min="5" max="5" width="20.33203125" style="929" customWidth="1"/>
    <col min="6" max="6" width="15.4140625" style="929" customWidth="1"/>
    <col min="7" max="7" width="1.08203125" style="929" customWidth="1"/>
    <col min="8" max="8" width="24.58203125" style="929" customWidth="1"/>
    <col min="9" max="9" width="33.75" style="929" customWidth="1"/>
    <col min="10" max="16384" width="7.33203125" style="929"/>
  </cols>
  <sheetData>
    <row r="1" spans="2:10" ht="15">
      <c r="B1" s="1608" t="s">
        <v>1704</v>
      </c>
      <c r="C1" s="1608"/>
      <c r="F1" s="1160" t="s">
        <v>1455</v>
      </c>
      <c r="H1" s="1660">
        <v>2018</v>
      </c>
    </row>
    <row r="2" spans="2:10" ht="18">
      <c r="B2" s="1608" t="s">
        <v>1705</v>
      </c>
      <c r="C2" s="1608"/>
      <c r="F2" s="1160" t="s">
        <v>1457</v>
      </c>
    </row>
    <row r="3" spans="2:10" ht="15.5" thickBot="1">
      <c r="B3" s="930" t="s">
        <v>1456</v>
      </c>
      <c r="F3" s="1160" t="s">
        <v>1458</v>
      </c>
      <c r="G3" s="1609"/>
      <c r="H3" s="929" t="s">
        <v>2243</v>
      </c>
    </row>
    <row r="4" spans="2:10" ht="12" hidden="1" customHeight="1">
      <c r="B4" s="930"/>
      <c r="F4" s="1160"/>
      <c r="G4" s="1609"/>
    </row>
    <row r="5" spans="2:10" ht="12" hidden="1" customHeight="1">
      <c r="B5" s="930"/>
      <c r="F5" s="1160"/>
      <c r="G5" s="1609"/>
    </row>
    <row r="6" spans="2:10" ht="12" customHeight="1" thickBot="1">
      <c r="B6" s="932" t="s">
        <v>1459</v>
      </c>
      <c r="E6" s="2049" t="str">
        <f>IF(F6-(RESULTADOS!D44+RESULTADOS!D45)&lt;0.0001,"OK","NO")</f>
        <v>OK</v>
      </c>
      <c r="F6" s="2076">
        <f>F11+F12+F16+F17+F19</f>
        <v>5.9233950898361325</v>
      </c>
      <c r="H6" s="1610" t="s">
        <v>1706</v>
      </c>
      <c r="I6" s="1610"/>
      <c r="J6" s="1611"/>
    </row>
    <row r="7" spans="2:10" ht="27" customHeight="1">
      <c r="B7" s="1612" t="s">
        <v>1520</v>
      </c>
      <c r="C7" s="1613" t="s">
        <v>1521</v>
      </c>
      <c r="D7" s="1539"/>
      <c r="E7" s="1614" t="s">
        <v>1522</v>
      </c>
      <c r="F7" s="1615" t="s">
        <v>1523</v>
      </c>
      <c r="H7" s="1616" t="s">
        <v>1707</v>
      </c>
      <c r="I7" s="1617" t="s">
        <v>1708</v>
      </c>
      <c r="J7" s="1618" t="s">
        <v>1709</v>
      </c>
    </row>
    <row r="8" spans="2:10" ht="24" customHeight="1">
      <c r="B8" s="1190"/>
      <c r="C8" s="1345" t="s">
        <v>1708</v>
      </c>
      <c r="D8" s="1619" t="s">
        <v>1710</v>
      </c>
      <c r="E8" s="1620"/>
      <c r="F8" s="1282" t="s">
        <v>1463</v>
      </c>
      <c r="H8" s="1621" t="s">
        <v>1711</v>
      </c>
      <c r="I8" s="1622" t="s">
        <v>1712</v>
      </c>
      <c r="J8" s="1623">
        <f>'3C5 Suelos Agricolas N2O Indire'!D15</f>
        <v>0.11</v>
      </c>
    </row>
    <row r="9" spans="2:10" ht="37" thickBot="1">
      <c r="B9" s="1624"/>
      <c r="C9" s="1205"/>
      <c r="D9" s="1625" t="s">
        <v>1713</v>
      </c>
      <c r="E9" s="1548" t="s">
        <v>1714</v>
      </c>
      <c r="F9" s="1068" t="s">
        <v>1469</v>
      </c>
      <c r="H9" s="1621" t="s">
        <v>1715</v>
      </c>
      <c r="I9" s="1622" t="s">
        <v>1716</v>
      </c>
      <c r="J9" s="1623">
        <f>'3C5 Suelos Agricolas N2O Indire'!G15</f>
        <v>0.21</v>
      </c>
    </row>
    <row r="10" spans="2:10" ht="24" customHeight="1" thickTop="1">
      <c r="B10" s="1626" t="s">
        <v>1717</v>
      </c>
      <c r="C10" s="1627"/>
      <c r="D10" s="1628"/>
      <c r="E10" s="1629"/>
      <c r="F10" s="1681">
        <f>(('3C4 Suelos Agricolas N2O Direct'!I22+'3C4 Suelos Agricolas N2O Direct'!T21)*(44/28))/1000000</f>
        <v>5.9233950898361325</v>
      </c>
      <c r="H10" s="1621" t="s">
        <v>1718</v>
      </c>
      <c r="I10" s="1622" t="s">
        <v>1719</v>
      </c>
      <c r="J10" s="1623">
        <f>'3C5 Suelos Agricolas N2O Indire'!G15</f>
        <v>0.21</v>
      </c>
    </row>
    <row r="11" spans="2:10" ht="24" customHeight="1">
      <c r="B11" s="1630" t="s">
        <v>1720</v>
      </c>
      <c r="C11" s="1631" t="s">
        <v>1721</v>
      </c>
      <c r="D11" s="1666">
        <f>('3C4 Suelos Agricolas N2O Direct'!F14+'3C4 Suelos Agricolas N2O Direct'!F18)/1000</f>
        <v>197443.20199999999</v>
      </c>
      <c r="E11" s="1662">
        <f>'3C4 Suelos Agricolas N2O Direct'!H14</f>
        <v>0.01</v>
      </c>
      <c r="F11" s="1674">
        <f>(('3C4 Suelos Agricolas N2O Direct'!I14+'3C4 Suelos Agricolas N2O Direct'!I18)*(44/28))/1000000</f>
        <v>3.0004339395597328</v>
      </c>
      <c r="H11" s="1621" t="s">
        <v>1722</v>
      </c>
      <c r="I11" s="1622" t="s">
        <v>1723</v>
      </c>
      <c r="J11" s="1623">
        <f>'3C5 Suelos Agricolas N2O Indire'!R15</f>
        <v>0.24</v>
      </c>
    </row>
    <row r="12" spans="2:10" ht="24" customHeight="1">
      <c r="B12" s="1630" t="s">
        <v>1724</v>
      </c>
      <c r="C12" s="1632" t="s">
        <v>1725</v>
      </c>
      <c r="D12" s="1667">
        <f>('3C4 Suelos Agricolas N2O Direct'!F15+'3C4 Suelos Agricolas N2O Direct'!F19)/1000</f>
        <v>31898.762352033598</v>
      </c>
      <c r="E12" s="1663">
        <f>'3C4 Suelos Agricolas N2O Direct'!H15</f>
        <v>0.01</v>
      </c>
      <c r="F12" s="1675">
        <f>(('3C4 Suelos Agricolas N2O Direct'!I15+'3C4 Suelos Agricolas N2O Direct'!I19)*(44/28))/1000000</f>
        <v>0.49939231323576394</v>
      </c>
      <c r="H12" s="1633" t="s">
        <v>1726</v>
      </c>
      <c r="I12" s="1634"/>
      <c r="J12" s="1635"/>
    </row>
    <row r="13" spans="2:10" ht="24" customHeight="1" thickBot="1">
      <c r="B13" s="1630" t="s">
        <v>1727</v>
      </c>
      <c r="C13" s="1631" t="s">
        <v>1728</v>
      </c>
      <c r="D13" s="1668" t="s">
        <v>2213</v>
      </c>
      <c r="E13" s="1664" t="s">
        <v>41</v>
      </c>
      <c r="F13" s="1676" t="s">
        <v>2213</v>
      </c>
      <c r="H13" s="1636"/>
      <c r="I13" s="1637"/>
      <c r="J13" s="1638"/>
    </row>
    <row r="14" spans="2:10" ht="24" customHeight="1">
      <c r="B14" s="1630" t="s">
        <v>1729</v>
      </c>
      <c r="C14" s="1631" t="s">
        <v>1730</v>
      </c>
      <c r="D14" s="1668" t="s">
        <v>2213</v>
      </c>
      <c r="E14" s="1664" t="s">
        <v>41</v>
      </c>
      <c r="F14" s="1676" t="s">
        <v>2213</v>
      </c>
      <c r="H14" s="1639" t="s">
        <v>1731</v>
      </c>
      <c r="I14" s="1308"/>
      <c r="J14" s="1308"/>
    </row>
    <row r="15" spans="2:10" ht="24" customHeight="1">
      <c r="B15" s="1640" t="s">
        <v>1732</v>
      </c>
      <c r="C15" s="1631" t="s">
        <v>1733</v>
      </c>
      <c r="D15" s="1668" t="s">
        <v>2213</v>
      </c>
      <c r="E15" s="1664" t="s">
        <v>41</v>
      </c>
      <c r="F15" s="1676" t="s">
        <v>2213</v>
      </c>
      <c r="H15" s="1641" t="s">
        <v>1734</v>
      </c>
    </row>
    <row r="16" spans="2:10" ht="24" customHeight="1">
      <c r="B16" s="1630" t="s">
        <v>1735</v>
      </c>
      <c r="C16" s="1631" t="s">
        <v>1736</v>
      </c>
      <c r="D16" s="1668">
        <f>SUM('3C4 Suelos Agricolas N2O Direct'!Q19+'3C4 Suelos Agricolas N2O Direct'!Q20)/1000</f>
        <v>141352.67543141305</v>
      </c>
      <c r="E16" s="1664">
        <f>AVERAGE('3C4 Suelos Agricolas N2O Direct'!R19:R20)</f>
        <v>3.5000000000000001E-3</v>
      </c>
      <c r="F16" s="1676">
        <f>('3C4 Suelos Agricolas N2O Direct'!S21*(44/28))/1000000</f>
        <v>0.86847445009048863</v>
      </c>
    </row>
    <row r="17" spans="2:10" ht="24" customHeight="1">
      <c r="B17" s="1630" t="s">
        <v>1737</v>
      </c>
      <c r="C17" s="1631" t="s">
        <v>1738</v>
      </c>
      <c r="D17" s="1668">
        <f>('3C4 Suelos Agricolas N2O Direct'!F16+'3C4 Suelos Agricolas N2O Direct'!F20)/1000</f>
        <v>106810.56640100809</v>
      </c>
      <c r="E17" s="1664">
        <f>AVERAGE('3C4 Suelos Agricolas N2O Direct'!H16,'3C4 Suelos Agricolas N2O Direct'!H20)</f>
        <v>6.5000000000000006E-3</v>
      </c>
      <c r="F17" s="1676">
        <f>(('3C4 Suelos Agricolas N2O Direct'!I16+'3C4 Suelos Agricolas N2O Direct'!I20)*(44/28))/1000000</f>
        <v>1.5136042500358617</v>
      </c>
    </row>
    <row r="18" spans="2:10" ht="24" customHeight="1">
      <c r="B18" s="1630" t="s">
        <v>1739</v>
      </c>
      <c r="C18" s="1631" t="s">
        <v>1740</v>
      </c>
      <c r="D18" s="1668" t="s">
        <v>2211</v>
      </c>
      <c r="E18" s="1665" t="s">
        <v>41</v>
      </c>
      <c r="F18" s="1677" t="s">
        <v>2211</v>
      </c>
    </row>
    <row r="19" spans="2:10" ht="24" customHeight="1">
      <c r="B19" s="1630" t="s">
        <v>1741</v>
      </c>
      <c r="C19" s="1631" t="s">
        <v>1742</v>
      </c>
      <c r="D19" s="1668">
        <f>'3C4 Suelos Agricolas N2O Direct'!N14</f>
        <v>0</v>
      </c>
      <c r="E19" s="1665">
        <f>'3C4 Suelos Agricolas N2O Direct'!O14</f>
        <v>0</v>
      </c>
      <c r="F19" s="1676">
        <f>('3C4 Suelos Agricolas N2O Direct'!P21*(44/28))/1000000</f>
        <v>4.1490136914285713E-2</v>
      </c>
    </row>
    <row r="20" spans="2:10" ht="24" customHeight="1" thickBot="1">
      <c r="B20" s="1642" t="s">
        <v>1743</v>
      </c>
      <c r="C20" s="1643"/>
      <c r="D20" s="1669"/>
      <c r="E20" s="1671"/>
      <c r="F20" s="1678"/>
    </row>
    <row r="21" spans="2:10" ht="24" customHeight="1">
      <c r="B21" s="1644" t="s">
        <v>1744</v>
      </c>
      <c r="C21" s="1645"/>
      <c r="D21" s="1670"/>
      <c r="E21" s="1672"/>
      <c r="F21" s="1682">
        <f>SUM(F22:F23)</f>
        <v>2.8939888777991691</v>
      </c>
    </row>
    <row r="22" spans="2:10" ht="24" customHeight="1">
      <c r="B22" s="1646" t="s">
        <v>1745</v>
      </c>
      <c r="C22" s="1631" t="s">
        <v>1746</v>
      </c>
      <c r="D22" s="1668">
        <f>('3C5 Suelos Agricolas N2O Indire'!I15/'3C5 Suelos Agricolas N2O Indire'!H15)/1000</f>
        <v>58101.554154523787</v>
      </c>
      <c r="E22" s="1664">
        <f>'3C5 Suelos Agricolas N2O Indire'!H15</f>
        <v>0.01</v>
      </c>
      <c r="F22" s="1679">
        <f>('3C5 Suelos Agricolas N2O Indire'!I18*(44/28))/1000000</f>
        <v>0.91302442242823101</v>
      </c>
    </row>
    <row r="23" spans="2:10" ht="24" customHeight="1" thickBot="1">
      <c r="B23" s="1647" t="s">
        <v>1747</v>
      </c>
      <c r="C23" s="1648" t="s">
        <v>1748</v>
      </c>
      <c r="D23" s="1669">
        <f>('3C5 Suelos Agricolas N2O Indire'!T15/'3C5 Suelos Agricolas N2O Indire'!S15)/1000</f>
        <v>114601.24948426914</v>
      </c>
      <c r="E23" s="1673">
        <f>'3C5 Suelos Agricolas N2O Indire'!S15</f>
        <v>1.0999999999999999E-2</v>
      </c>
      <c r="F23" s="1680">
        <f>('3C5 Suelos Agricolas N2O Indire'!T18*(44/28))/1000000</f>
        <v>1.980964455370938</v>
      </c>
    </row>
    <row r="25" spans="2:10" ht="12" customHeight="1">
      <c r="B25" s="1105"/>
      <c r="C25" s="1105"/>
      <c r="D25" s="1105"/>
      <c r="E25" s="1105"/>
      <c r="F25" s="1105"/>
    </row>
    <row r="26" spans="2:10" ht="12" customHeight="1">
      <c r="B26" s="1105"/>
      <c r="C26" s="1649"/>
      <c r="D26" s="1649"/>
      <c r="E26" s="1649"/>
      <c r="F26" s="1649"/>
    </row>
    <row r="27" spans="2:10" ht="12" customHeight="1">
      <c r="B27" s="1650"/>
      <c r="C27" s="1650"/>
      <c r="D27" s="1650"/>
      <c r="E27" s="1650"/>
      <c r="F27" s="1650"/>
      <c r="G27" s="1651"/>
    </row>
    <row r="28" spans="2:10" ht="12" customHeight="1">
      <c r="B28" s="1650"/>
      <c r="C28" s="1650"/>
      <c r="D28" s="1650"/>
      <c r="E28" s="1650"/>
      <c r="F28" s="1650"/>
      <c r="G28" s="1651"/>
      <c r="H28" s="1652"/>
      <c r="I28" s="1652"/>
      <c r="J28" s="1652"/>
    </row>
    <row r="29" spans="2:10" ht="12" customHeight="1">
      <c r="B29" s="1653"/>
      <c r="C29" s="1654"/>
      <c r="D29" s="1654"/>
      <c r="E29" s="1654"/>
      <c r="F29" s="1654"/>
      <c r="G29" s="1651"/>
      <c r="H29" s="1652"/>
      <c r="I29" s="1652"/>
      <c r="J29" s="1652"/>
    </row>
    <row r="30" spans="2:10" ht="12" customHeight="1">
      <c r="B30" s="1653"/>
      <c r="C30" s="1654"/>
      <c r="D30" s="1654"/>
      <c r="E30" s="1654"/>
      <c r="F30" s="1654"/>
      <c r="G30" s="1651"/>
      <c r="H30" s="1652"/>
      <c r="I30" s="1652"/>
      <c r="J30" s="1652"/>
    </row>
    <row r="31" spans="2:10" ht="12" customHeight="1">
      <c r="B31" s="1653"/>
      <c r="C31" s="1654"/>
      <c r="D31" s="1654"/>
      <c r="E31" s="1654"/>
      <c r="F31" s="1654"/>
      <c r="G31" s="1651"/>
      <c r="H31" s="1652"/>
      <c r="I31" s="1652"/>
      <c r="J31" s="1652"/>
    </row>
    <row r="32" spans="2:10" ht="12" customHeight="1">
      <c r="B32" s="1653"/>
      <c r="C32" s="1654"/>
      <c r="D32" s="1654"/>
      <c r="E32" s="1654"/>
      <c r="F32" s="1654"/>
      <c r="G32" s="1651"/>
      <c r="H32" s="1652"/>
      <c r="I32" s="1652"/>
      <c r="J32" s="1652"/>
    </row>
    <row r="33" spans="2:10" ht="12" customHeight="1">
      <c r="B33" s="1653"/>
      <c r="C33" s="1654"/>
      <c r="D33" s="1654"/>
      <c r="E33" s="1654"/>
      <c r="F33" s="1654"/>
      <c r="G33" s="1651"/>
      <c r="H33" s="1652"/>
      <c r="I33" s="1652"/>
      <c r="J33" s="1652"/>
    </row>
    <row r="34" spans="2:10" ht="12" customHeight="1">
      <c r="B34" s="1653"/>
      <c r="C34" s="1654"/>
      <c r="D34" s="1654"/>
      <c r="E34" s="1654"/>
      <c r="F34" s="1654"/>
      <c r="G34" s="1651"/>
      <c r="H34" s="1652"/>
      <c r="I34" s="1652"/>
      <c r="J34" s="1652"/>
    </row>
    <row r="35" spans="2:10" ht="12" customHeight="1">
      <c r="B35" s="1655"/>
      <c r="C35" s="1655"/>
      <c r="D35" s="1655"/>
      <c r="E35" s="1655"/>
      <c r="F35" s="1655"/>
      <c r="H35" s="1652"/>
      <c r="I35" s="1652"/>
      <c r="J35" s="1652"/>
    </row>
    <row r="36" spans="2:10" ht="12" customHeight="1" thickBot="1">
      <c r="B36" s="1656"/>
      <c r="C36" s="1656"/>
      <c r="D36" s="1656"/>
      <c r="E36" s="1656"/>
      <c r="F36" s="1656"/>
      <c r="H36" s="1652"/>
      <c r="I36" s="1652"/>
      <c r="J36" s="1652"/>
    </row>
    <row r="37" spans="2:10" ht="12" customHeight="1">
      <c r="B37" s="1657" t="s">
        <v>1568</v>
      </c>
      <c r="C37" s="1658"/>
      <c r="D37" s="1658"/>
      <c r="E37" s="1658"/>
      <c r="F37" s="1659"/>
      <c r="H37" s="1652"/>
      <c r="I37" s="1652"/>
      <c r="J37" s="1652"/>
    </row>
    <row r="38" spans="2:10" ht="12" customHeight="1">
      <c r="B38" s="2075" t="str">
        <f>'3C4 Suelos Agricolas N2O Direct'!C28</f>
        <v>Dato</v>
      </c>
      <c r="C38" s="2075" t="str">
        <f>'3C4 Suelos Agricolas N2O Direct'!E28</f>
        <v>Tipo</v>
      </c>
      <c r="D38" s="2075" t="str">
        <f>'3C4 Suelos Agricolas N2O Direct'!F28</f>
        <v>Fuente</v>
      </c>
      <c r="E38" s="2075" t="str">
        <f>'3C4 Suelos Agricolas N2O Direct'!G28</f>
        <v>Observaciones</v>
      </c>
      <c r="F38" s="2055"/>
      <c r="G38" s="929" t="s">
        <v>43</v>
      </c>
      <c r="H38" s="1652"/>
      <c r="I38" s="1652"/>
      <c r="J38" s="1652"/>
    </row>
    <row r="39" spans="2:10" ht="12" customHeight="1">
      <c r="B39" s="1661" t="str">
        <f>'3C4 Suelos Agricolas N2O Direct'!C29</f>
        <v>FSN: N en fertilizantes sintéticos</v>
      </c>
      <c r="C39" s="1661" t="str">
        <f>'3C4 Suelos Agricolas N2O Direct'!E29</f>
        <v>Dato Calculado/ Derivado</v>
      </c>
      <c r="D39" s="1661" t="str">
        <f>'3C4 Suelos Agricolas N2O Direct'!F29</f>
        <v>Banco Central del Ecuador 2018 AJUSTADO POR VALOR FAO STAT (USO AGRICOLA, correspondiente al % de fertilizante que se utiliza en agricultura)</v>
      </c>
      <c r="E39" s="1661" t="str">
        <f>'3C4 Suelos Agricolas N2O Direct'!G29</f>
        <v>Se asume que todo el fertilizante en su aporte de nitrogeno es estandar según % detallados (basados en consulta a expertos INIAP y revisión bibliográfica de fichas técnicas de productos importados). La estadistica fue cotejada con fuentes adicionales como SENAE, MAG, UNA, FAO</v>
      </c>
      <c r="F39" s="2055"/>
      <c r="G39" s="929" t="s">
        <v>43</v>
      </c>
      <c r="H39" s="1652"/>
      <c r="I39" s="1652"/>
      <c r="J39" s="1652"/>
    </row>
    <row r="40" spans="2:10" ht="12" customHeight="1">
      <c r="B40" s="1661" t="str">
        <f>'3C4 Suelos Agricolas N2O Direct'!C30</f>
        <v>FON: N en estiércol animal, compost, lodos, otros</v>
      </c>
      <c r="C40" s="1661" t="str">
        <f>'3C4 Suelos Agricolas N2O Direct'!E30</f>
        <v>Dato Calculado/ Derivado</v>
      </c>
      <c r="D40" s="1661" t="str">
        <f>'3C4 Suelos Agricolas N2O Direct'!F30</f>
        <v>Tabla 3C4.2 hoja "anexo 3C4" - ESPAC 2018 , INEC</v>
      </c>
      <c r="E40" s="1661" t="str">
        <f>'3C4 Suelos Agricolas N2O Direct'!G30</f>
        <v>Se usa NMMS_Avb (hoja 3C6) como FAM como señala IPCC 2006. Es necesario el procesamiento de la base SPSS de la ESPAC-INEC, la conversión de unidades de medida y la especificacion del resultado por cultivo y tipo de fertilizante para obtener el resultado</v>
      </c>
      <c r="F40" s="2055"/>
      <c r="G40" s="929" t="s">
        <v>43</v>
      </c>
      <c r="H40" s="1652"/>
      <c r="I40" s="1652"/>
      <c r="J40" s="1652"/>
    </row>
    <row r="41" spans="2:10" ht="12" customHeight="1">
      <c r="B41" s="1661" t="str">
        <f>'3C4 Suelos Agricolas N2O Direct'!C31</f>
        <v>FCR: N en residuos agrícolas</v>
      </c>
      <c r="C41" s="1661" t="str">
        <f>'3C4 Suelos Agricolas N2O Direct'!E31</f>
        <v>Dato Calculado/ Derivado</v>
      </c>
      <c r="D41" s="1661" t="str">
        <f>'3C4 Suelos Agricolas N2O Direct'!F31</f>
        <v>Anexo 3C4 -- ESPAC 2018</v>
      </c>
      <c r="E41" s="1661" t="str">
        <f>'3C4 Suelos Agricolas N2O Direct'!G31</f>
        <v>Se utilizan los principales cultivos que se asocian a la generación de volumenes considerables de residuos</v>
      </c>
      <c r="F41" s="2055"/>
      <c r="G41" s="929" t="s">
        <v>43</v>
      </c>
      <c r="H41" s="1652"/>
      <c r="I41" s="1652"/>
      <c r="J41" s="1652"/>
    </row>
    <row r="42" spans="2:10" ht="12" customHeight="1">
      <c r="B42" s="1661" t="str">
        <f>'3C4 Suelos Agricolas N2O Direct'!C32</f>
        <v>FSOM: N en suelos minerales que están mineralizados</v>
      </c>
      <c r="C42" s="1661" t="str">
        <f>'3C4 Suelos Agricolas N2O Direct'!E32</f>
        <v>Dato Calculado/ Derivado</v>
      </c>
      <c r="D42" s="1661" t="str">
        <f>'3C4 Suelos Agricolas N2O Direct'!F32</f>
        <v>N/A</v>
      </c>
      <c r="E42" s="1661" t="str">
        <f>'3C4 Suelos Agricolas N2O Direct'!G32</f>
        <v>No existe el dato para el país</v>
      </c>
      <c r="F42" s="2055"/>
      <c r="G42" s="929" t="s">
        <v>43</v>
      </c>
      <c r="H42" s="1652"/>
      <c r="I42" s="1652"/>
      <c r="J42" s="1652"/>
    </row>
    <row r="43" spans="2:10" ht="12" customHeight="1">
      <c r="B43" s="1661" t="str">
        <f>'3C4 Suelos Agricolas N2O Direct'!C33</f>
        <v>FSN: N en fertilizantes sintéticos -- arroz</v>
      </c>
      <c r="C43" s="1661" t="str">
        <f>'3C4 Suelos Agricolas N2O Direct'!E33</f>
        <v>Dato Calculado/ Derivado</v>
      </c>
      <c r="D43" s="1661" t="str">
        <f>'3C4 Suelos Agricolas N2O Direct'!F33</f>
        <v>ESPAC 2018_INEC</v>
      </c>
      <c r="E43" s="1661" t="str">
        <f>'3C4 Suelos Agricolas N2O Direct'!G33</f>
        <v>El dato esta disponible en la base SPSS de la ESPAC para arroz especificamente, es necesario depurar conversion de unidades para obtenerlo</v>
      </c>
      <c r="F43" s="2055"/>
      <c r="G43" s="929" t="s">
        <v>43</v>
      </c>
      <c r="H43" s="1652"/>
      <c r="I43" s="1652"/>
      <c r="J43" s="1652"/>
    </row>
    <row r="44" spans="2:10" ht="12" customHeight="1">
      <c r="B44" s="1661" t="str">
        <f>'3C4 Suelos Agricolas N2O Direct'!C34</f>
        <v>FON: N en estiércol animal, compost, lodos, otros - arroz</v>
      </c>
      <c r="C44" s="1661" t="str">
        <f>'3C4 Suelos Agricolas N2O Direct'!E34</f>
        <v>Dato Calculado/ Derivado</v>
      </c>
      <c r="D44" s="1661" t="str">
        <f>'3C4 Suelos Agricolas N2O Direct'!F34</f>
        <v>ESPAC 2018 _INEC</v>
      </c>
      <c r="E44" s="1661" t="str">
        <f>'3C4 Suelos Agricolas N2O Direct'!G34</f>
        <v>El dato esta disponible en la base SPSS de la ESPAC para arroz especificamente, es necesario depurar conversion de unidades para obtenerlo</v>
      </c>
      <c r="F44" s="2055"/>
      <c r="G44" s="929" t="s">
        <v>43</v>
      </c>
      <c r="H44" s="1652"/>
      <c r="I44" s="1652"/>
      <c r="J44" s="1652"/>
    </row>
    <row r="45" spans="2:10" ht="12" customHeight="1">
      <c r="B45" s="1661" t="str">
        <f>'3C4 Suelos Agricolas N2O Direct'!C35</f>
        <v>FCR: N en residuos agrícolas -- arroz</v>
      </c>
      <c r="C45" s="1661" t="str">
        <f>'3C4 Suelos Agricolas N2O Direct'!E35</f>
        <v>Dato Calculado/ Derivado</v>
      </c>
      <c r="D45" s="1661" t="str">
        <f>'3C4 Suelos Agricolas N2O Direct'!F35</f>
        <v>Anexo 3C4 -- ESPAC 2018</v>
      </c>
      <c r="E45" s="1661"/>
      <c r="F45" s="2055"/>
      <c r="G45" s="929" t="s">
        <v>43</v>
      </c>
      <c r="H45" s="1652"/>
      <c r="I45" s="1652"/>
      <c r="J45" s="1652"/>
    </row>
    <row r="46" spans="2:10" ht="12" customHeight="1">
      <c r="B46" s="1661" t="str">
        <f>'3C4 Suelos Agricolas N2O Direct'!C36</f>
        <v>Factor de Emision para Fsn</v>
      </c>
      <c r="C46" s="1661" t="str">
        <f>'3C4 Suelos Agricolas N2O Direct'!E36</f>
        <v>FE</v>
      </c>
      <c r="D46" s="1661" t="str">
        <f>'3C4 Suelos Agricolas N2O Direct'!F36</f>
        <v xml:space="preserve">Directrices del IPCC de 2006 para los inventarios nacionales de gases de efecto invernadero, Vol 4, Cap 11 (tabla 11.1 p. 11.12) </v>
      </c>
      <c r="E46" s="1661"/>
      <c r="F46" s="2055"/>
      <c r="G46" s="929" t="s">
        <v>43</v>
      </c>
      <c r="H46" s="1652"/>
      <c r="I46" s="1652"/>
      <c r="J46" s="1652"/>
    </row>
    <row r="47" spans="2:10" ht="12" customHeight="1">
      <c r="B47" s="1661" t="str">
        <f>'3C4 Suelos Agricolas N2O Direct'!C37</f>
        <v>Factor de Emision para Fon</v>
      </c>
      <c r="C47" s="1661" t="str">
        <f>'3C4 Suelos Agricolas N2O Direct'!E37</f>
        <v>FE</v>
      </c>
      <c r="D47" s="1661" t="str">
        <f>'3C4 Suelos Agricolas N2O Direct'!F37</f>
        <v xml:space="preserve">Directrices del IPCC de 2006 para los inventarios nacionales de gases de efecto invernadero, Vol 4, Cap 11 (tabla 11.1 p. 11.12) </v>
      </c>
      <c r="E47" s="1661"/>
      <c r="F47" s="2055"/>
      <c r="G47" s="929" t="s">
        <v>43</v>
      </c>
      <c r="H47" s="1652"/>
      <c r="I47" s="1652"/>
      <c r="J47" s="1652"/>
    </row>
    <row r="48" spans="2:10" ht="12" customHeight="1">
      <c r="B48" s="1661" t="str">
        <f>'3C4 Suelos Agricolas N2O Direct'!C38</f>
        <v>Factor de Emision para Fcr</v>
      </c>
      <c r="C48" s="1661" t="str">
        <f>'3C4 Suelos Agricolas N2O Direct'!E38</f>
        <v>FE</v>
      </c>
      <c r="D48" s="1661" t="str">
        <f>'3C4 Suelos Agricolas N2O Direct'!F38</f>
        <v xml:space="preserve">Directrices del IPCC de 2006 para los inventarios nacionales de gases de efecto invernadero, Vol 4, Cap 11 (tabla 11.1 p. 11.12) </v>
      </c>
      <c r="E48" s="1661"/>
      <c r="F48" s="2055"/>
      <c r="G48" s="929" t="s">
        <v>43</v>
      </c>
      <c r="H48" s="1652"/>
      <c r="I48" s="1652"/>
      <c r="J48" s="1652"/>
    </row>
    <row r="49" spans="2:7" ht="12" customHeight="1">
      <c r="B49" s="1661" t="str">
        <f>'3C4 Suelos Agricolas N2O Direct'!C39</f>
        <v>EF1FR Factor de Emision para Fcr, Fon, Fsn arroz</v>
      </c>
      <c r="C49" s="1661" t="str">
        <f>'3C4 Suelos Agricolas N2O Direct'!E39</f>
        <v>FE</v>
      </c>
      <c r="D49" s="1661" t="str">
        <f>'3C4 Suelos Agricolas N2O Direct'!F39</f>
        <v xml:space="preserve">Directrices del IPCC de 2006 para los inventarios nacionales de gases de efecto invernadero, Vol 4, Cap 11 (tabla 11.1 p. 11.12) </v>
      </c>
      <c r="E49" s="1661"/>
      <c r="F49" s="2055"/>
      <c r="G49" s="929" t="s">
        <v>43</v>
      </c>
    </row>
    <row r="50" spans="2:7" ht="12" customHeight="1">
      <c r="B50" s="2075" t="str">
        <f>'3C5 Suelos Agricolas N2O Indire'!B22</f>
        <v>Dato</v>
      </c>
      <c r="C50" s="2075" t="str">
        <f>'3C5 Suelos Agricolas N2O Indire'!D22</f>
        <v>Tipo</v>
      </c>
      <c r="D50" s="2075" t="str">
        <f>'3C5 Suelos Agricolas N2O Indire'!E22</f>
        <v>Fuente</v>
      </c>
      <c r="E50" s="2075" t="str">
        <f>'3C5 Suelos Agricolas N2O Indire'!F22</f>
        <v>Observaciones</v>
      </c>
      <c r="F50" s="2055"/>
      <c r="G50" s="929" t="s">
        <v>43</v>
      </c>
    </row>
    <row r="51" spans="2:7" ht="12" customHeight="1">
      <c r="B51" s="1661" t="str">
        <f>'3C5 Suelos Agricolas N2O Indire'!B23</f>
        <v>FSN: N en fertilizantes sintéticos</v>
      </c>
      <c r="C51" s="1661" t="str">
        <f>'3C5 Suelos Agricolas N2O Indire'!D23</f>
        <v>Datos de Actividad</v>
      </c>
      <c r="D51" s="1661" t="str">
        <f>'3C5 Suelos Agricolas N2O Indire'!E23</f>
        <v>Banco Central del Ecuador 2018 y FAOSTAT (Uso agrícola)</v>
      </c>
      <c r="E51" s="1661" t="str">
        <f>'3C5 Suelos Agricolas N2O Indire'!F23</f>
        <v>Se asume que todo el fertilizante sintético en su aporte de nitrogeno es estandar según % detallados (según ficha tecnica INEC). La estadistica fue cotejada con la estadistica proporcionada por MAG</v>
      </c>
      <c r="F51" s="2055"/>
      <c r="G51" s="929" t="s">
        <v>43</v>
      </c>
    </row>
    <row r="52" spans="2:7" ht="12" customHeight="1">
      <c r="B52" s="1661" t="str">
        <f>'3C5 Suelos Agricolas N2O Indire'!B24</f>
        <v>FracGASF</v>
      </c>
      <c r="C52" s="1661" t="str">
        <f>'3C5 Suelos Agricolas N2O Indire'!D24</f>
        <v>Factor intermedio</v>
      </c>
      <c r="D52" s="1661" t="str">
        <f>'3C5 Suelos Agricolas N2O Indire'!E24</f>
        <v xml:space="preserve">Directrices del IPCC de 2019 refinamiento para los inventarios nacionales de gases de efecto invernadero, Vol 4, Cap 11 (tabla 11.3 p. 11.26) </v>
      </c>
      <c r="E52" s="1661"/>
      <c r="F52" s="2055"/>
      <c r="G52" s="929" t="s">
        <v>43</v>
      </c>
    </row>
    <row r="53" spans="2:7" ht="12" customHeight="1">
      <c r="B53" s="1661" t="str">
        <f>'3C5 Suelos Agricolas N2O Indire'!B25</f>
        <v>FON: N en estiércol animal, compost, lodos, otros</v>
      </c>
      <c r="C53" s="1661" t="str">
        <f>'3C5 Suelos Agricolas N2O Indire'!D25</f>
        <v>Datos de Actividad</v>
      </c>
      <c r="D53" s="1661" t="str">
        <f>'3C5 Suelos Agricolas N2O Indire'!E25</f>
        <v>ESPAC 2018 procesamiento de la base de datos SPSS, INEC</v>
      </c>
      <c r="E53" s="1661" t="str">
        <f>'3C5 Suelos Agricolas N2O Indire'!F25</f>
        <v>Es necesario el procesamiento de la base SPSS de la ESPAC 2018-INEC, la conversión de unidades de medida y la especificacion del resultado por cultivo y tipo de fertilizante para obtener el resultado final</v>
      </c>
      <c r="F53" s="2055"/>
      <c r="G53" s="929" t="s">
        <v>43</v>
      </c>
    </row>
    <row r="54" spans="2:7" ht="12" customHeight="1">
      <c r="B54" s="1661" t="str">
        <f>'3C5 Suelos Agricolas N2O Indire'!B26</f>
        <v>Fprp: Cantidad anual de orina y estiércol N depositada</v>
      </c>
      <c r="C54" s="1661" t="str">
        <f>'3C5 Suelos Agricolas N2O Indire'!D26</f>
        <v>Calculo intermedio</v>
      </c>
      <c r="D54" s="1661" t="str">
        <f>'3C5 Suelos Agricolas N2O Indire'!E26</f>
        <v>Viene de categoría 3A2 ecuación 11.15</v>
      </c>
      <c r="E54" s="1661"/>
      <c r="F54" s="2055"/>
      <c r="G54" s="929" t="s">
        <v>43</v>
      </c>
    </row>
    <row r="55" spans="2:7" ht="12" customHeight="1">
      <c r="B55" s="1661" t="str">
        <f>'3C5 Suelos Agricolas N2O Indire'!B27</f>
        <v>FracGASM</v>
      </c>
      <c r="C55" s="1661" t="str">
        <f>'3C5 Suelos Agricolas N2O Indire'!D27</f>
        <v>Factor intermedio</v>
      </c>
      <c r="D55" s="1661" t="str">
        <f>'3C5 Suelos Agricolas N2O Indire'!E27</f>
        <v xml:space="preserve">Directrices del IPCC de 2006 refinamiento 2019, para los inventarios nacionales de gases de efecto invernadero, Vol 4, Cap 11 (tabla 11.3 p. 11.26) </v>
      </c>
      <c r="E55" s="1661"/>
      <c r="F55" s="2055"/>
      <c r="G55" s="929" t="s">
        <v>43</v>
      </c>
    </row>
    <row r="56" spans="2:7" ht="12" customHeight="1">
      <c r="B56" s="1661" t="str">
        <f>'3C5 Suelos Agricolas N2O Indire'!B28</f>
        <v>EF4: Factor de emision para el N2O producto de la deposición atmosférica de N en suelos y superficies de agua.</v>
      </c>
      <c r="C56" s="1661" t="str">
        <f>'3C5 Suelos Agricolas N2O Indire'!D28</f>
        <v>FE</v>
      </c>
      <c r="D56" s="1661" t="str">
        <f>'3C5 Suelos Agricolas N2O Indire'!E28</f>
        <v xml:space="preserve">Directrices del IPCC de 2006 refinamiento 2019, para los inventarios nacionales de gases de efecto invernadero, Vol 4, Cap 11 (tabla 11.3 p. 11.26) </v>
      </c>
      <c r="E56" s="1661"/>
      <c r="F56" s="2055"/>
      <c r="G56" s="929" t="s">
        <v>43</v>
      </c>
    </row>
  </sheetData>
  <conditionalFormatting sqref="E6">
    <cfRule type="expression" dxfId="4" priority="1">
      <formula>"&lt;0,01"</formula>
    </cfRule>
  </conditionalFormatting>
  <dataValidations count="1">
    <dataValidation allowBlank="1" showInputMessage="1" showErrorMessage="1" sqref="H10:J65512 C3:C24 B1:B35 G20:G26 G35:G65516 D10:G19 K10:IW65516 D20:F24 B38:E56 B37:F37 B57:F65516 D1:IW9" xr:uid="{3428268E-E06B-4D63-9DBE-CE9BEC8DF2DF}"/>
  </dataValidations>
  <hyperlinks>
    <hyperlink ref="B6" location="Index" display="Back to Index" xr:uid="{F0C07864-E7AC-4E78-8755-90346809F9FF}"/>
  </hyperlinks>
  <printOptions horizontalCentered="1" verticalCentered="1"/>
  <pageMargins left="0.39370078740157483" right="0.39370078740157483" top="0.39370078740157483" bottom="0.39370078740157483" header="0.19685039370078741" footer="0.19685039370078741"/>
  <pageSetup paperSize="9" scale="66" orientation="landscape" r:id="rId1"/>
  <headerFooter alignWithMargins="0">
    <oddFooter>&amp;L&amp;A</oddFooter>
  </headerFooter>
  <ignoredErrors>
    <ignoredError sqref="F12" unlockedFormula="1"/>
  </ignoredError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6E83-03F9-4C74-AEF7-369BA0FC1B78}">
  <sheetPr>
    <tabColor theme="5" tint="-0.499984740745262"/>
    <pageSetUpPr fitToPage="1"/>
  </sheetPr>
  <dimension ref="B1:P40"/>
  <sheetViews>
    <sheetView showGridLines="0" zoomScale="70" zoomScaleNormal="70" zoomScaleSheetLayoutView="100" workbookViewId="0">
      <pane ySplit="9" topLeftCell="A10" activePane="bottomLeft" state="frozen"/>
      <selection activeCell="J16" sqref="J16"/>
      <selection pane="bottomLeft" activeCell="L3" sqref="L3"/>
    </sheetView>
  </sheetViews>
  <sheetFormatPr defaultColWidth="8.4140625" defaultRowHeight="13"/>
  <cols>
    <col min="1" max="1" width="1.4140625" style="929" customWidth="1"/>
    <col min="2" max="2" width="38.6640625" style="929" customWidth="1"/>
    <col min="3" max="3" width="8.4140625" style="929" customWidth="1"/>
    <col min="4" max="5" width="10.83203125" style="929" customWidth="1"/>
    <col min="6" max="7" width="11.75" style="929" customWidth="1"/>
    <col min="8" max="9" width="9.58203125" style="929" customWidth="1"/>
    <col min="10" max="10" width="9.9140625" style="929" customWidth="1"/>
    <col min="11" max="11" width="2.33203125" style="929" customWidth="1"/>
    <col min="12" max="12" width="23.4140625" style="929" bestFit="1" customWidth="1"/>
    <col min="13" max="16" width="8.4140625" style="929"/>
    <col min="17" max="17" width="2.58203125" style="929" customWidth="1"/>
    <col min="18" max="16384" width="8.4140625" style="929"/>
  </cols>
  <sheetData>
    <row r="1" spans="2:16" ht="15">
      <c r="B1" s="1683" t="s">
        <v>1750</v>
      </c>
      <c r="J1" s="1160" t="s">
        <v>1455</v>
      </c>
      <c r="L1" s="1660">
        <v>2018</v>
      </c>
    </row>
    <row r="2" spans="2:16" ht="15">
      <c r="B2" s="1684" t="s">
        <v>1751</v>
      </c>
      <c r="C2" s="1684"/>
      <c r="D2" s="1684"/>
      <c r="J2" s="1160" t="s">
        <v>1457</v>
      </c>
      <c r="L2" s="1660">
        <v>2024</v>
      </c>
    </row>
    <row r="3" spans="2:16" ht="15">
      <c r="B3" s="1683" t="s">
        <v>1456</v>
      </c>
      <c r="J3" s="1160" t="s">
        <v>1458</v>
      </c>
      <c r="L3" s="1660" t="s">
        <v>2243</v>
      </c>
    </row>
    <row r="4" spans="2:16" ht="12" customHeight="1">
      <c r="B4" s="1683"/>
      <c r="J4" s="1160"/>
    </row>
    <row r="5" spans="2:16" ht="12" customHeight="1">
      <c r="B5" s="1683"/>
      <c r="J5" s="1160"/>
    </row>
    <row r="6" spans="2:16" ht="12" customHeight="1" thickBot="1">
      <c r="B6" s="932" t="s">
        <v>1459</v>
      </c>
      <c r="L6" s="1045" t="s">
        <v>1706</v>
      </c>
      <c r="M6" s="1045"/>
      <c r="N6" s="1045"/>
      <c r="O6" s="1045"/>
      <c r="P6" s="1045"/>
    </row>
    <row r="7" spans="2:16" ht="34.5">
      <c r="B7" s="1612" t="s">
        <v>1637</v>
      </c>
      <c r="C7" s="1170" t="s">
        <v>1752</v>
      </c>
      <c r="D7" s="1171"/>
      <c r="E7" s="1171"/>
      <c r="F7" s="1172"/>
      <c r="G7" s="1170" t="s">
        <v>1522</v>
      </c>
      <c r="H7" s="1172"/>
      <c r="I7" s="1170" t="s">
        <v>1523</v>
      </c>
      <c r="J7" s="1172"/>
      <c r="L7" s="1685"/>
      <c r="M7" s="1686" t="s">
        <v>1753</v>
      </c>
      <c r="N7" s="1686" t="s">
        <v>1754</v>
      </c>
      <c r="O7" s="1054" t="s">
        <v>1755</v>
      </c>
      <c r="P7" s="1055" t="s">
        <v>2215</v>
      </c>
    </row>
    <row r="8" spans="2:16" ht="26" thickBot="1">
      <c r="B8" s="1540" t="s">
        <v>1574</v>
      </c>
      <c r="C8" s="1345" t="s">
        <v>1756</v>
      </c>
      <c r="D8" s="1349" t="s">
        <v>1757</v>
      </c>
      <c r="E8" s="1349" t="s">
        <v>1758</v>
      </c>
      <c r="F8" s="1619" t="s">
        <v>1759</v>
      </c>
      <c r="G8" s="1687" t="s">
        <v>1684</v>
      </c>
      <c r="H8" s="1688" t="s">
        <v>1760</v>
      </c>
      <c r="I8" s="1687" t="s">
        <v>1684</v>
      </c>
      <c r="J8" s="1688" t="s">
        <v>1760</v>
      </c>
      <c r="L8" s="1069"/>
      <c r="M8" s="1689"/>
      <c r="N8" s="1689"/>
      <c r="O8" s="1071"/>
      <c r="P8" s="1072"/>
    </row>
    <row r="9" spans="2:16" ht="18" customHeight="1" thickBot="1">
      <c r="B9" s="1624"/>
      <c r="C9" s="1690" t="s">
        <v>1761</v>
      </c>
      <c r="D9" s="1691" t="s">
        <v>1762</v>
      </c>
      <c r="E9" s="1691"/>
      <c r="F9" s="1625" t="s">
        <v>1763</v>
      </c>
      <c r="G9" s="1692" t="s">
        <v>1764</v>
      </c>
      <c r="H9" s="1693"/>
      <c r="I9" s="1692" t="s">
        <v>1469</v>
      </c>
      <c r="J9" s="1693"/>
      <c r="L9" s="1694" t="s">
        <v>1765</v>
      </c>
      <c r="M9" s="2015">
        <f>'Anexo 3C4'!C9</f>
        <v>5397.7720778404291</v>
      </c>
      <c r="N9" s="2015">
        <f>'Anexo 3C4'!C12</f>
        <v>13673.51656460859</v>
      </c>
      <c r="O9" s="2015">
        <f>'Anexo 3C4'!C10</f>
        <v>1449265.8901541184</v>
      </c>
      <c r="P9" s="2016">
        <f>'Anexo 3C4'!C14</f>
        <v>7840634.5575351408</v>
      </c>
    </row>
    <row r="10" spans="2:16" ht="18" customHeight="1" thickTop="1">
      <c r="B10" s="1695" t="s">
        <v>1766</v>
      </c>
      <c r="C10" s="1551"/>
      <c r="D10" s="1696"/>
      <c r="E10" s="1696"/>
      <c r="F10" s="1697"/>
      <c r="G10" s="1698"/>
      <c r="H10" s="1699"/>
      <c r="I10" s="2014">
        <f>SUM(I11:I14)</f>
        <v>1.3680791230485136</v>
      </c>
      <c r="J10" s="2014">
        <f>SUM(J11:J14)</f>
        <v>3.5468718004961472E-2</v>
      </c>
      <c r="L10" s="1700" t="s">
        <v>1767</v>
      </c>
      <c r="M10" s="2017">
        <f>'Anexo 3C4'!H9</f>
        <v>1.3</v>
      </c>
      <c r="N10" s="2017">
        <f>'Anexo 3C4'!H12</f>
        <v>1.2</v>
      </c>
      <c r="O10" s="2017">
        <f>'Anexo 3C4'!H10</f>
        <v>1</v>
      </c>
      <c r="P10" s="2018">
        <f>'Anexo 3C4'!H14</f>
        <v>1</v>
      </c>
    </row>
    <row r="11" spans="2:16" ht="18" customHeight="1">
      <c r="B11" s="1555" t="s">
        <v>1768</v>
      </c>
      <c r="C11" s="1731">
        <f>'3C1 Quema de biomasa'!E13</f>
        <v>333.55846240137947</v>
      </c>
      <c r="D11" s="1738">
        <f>'3C1 Quema de biomasa'!F13</f>
        <v>4</v>
      </c>
      <c r="E11" s="1078">
        <f>'3C1 Quema de biomasa'!G13</f>
        <v>0.9</v>
      </c>
      <c r="F11" s="2005" t="s">
        <v>41</v>
      </c>
      <c r="G11" s="1747">
        <f>'3C1 Quema de biomasa'!I13</f>
        <v>2.7</v>
      </c>
      <c r="H11" s="1748">
        <f>'3C1 Quema de biomasa'!I15</f>
        <v>7.0000000000000007E-2</v>
      </c>
      <c r="I11" s="1741">
        <f>'3C1 Quema de biomasa'!J13/1000</f>
        <v>3.2421882545414088E-3</v>
      </c>
      <c r="J11" s="1742">
        <f>'3C1 Quema de biomasa'!L15/1000</f>
        <v>8.4056732525147632E-5</v>
      </c>
      <c r="L11" s="1700" t="s">
        <v>1769</v>
      </c>
      <c r="M11" s="1738">
        <f>'Anexo 3C4'!F9</f>
        <v>0.89</v>
      </c>
      <c r="N11" s="1738">
        <f>'Anexo 3C4'!F12</f>
        <v>0.89</v>
      </c>
      <c r="O11" s="1738">
        <f>'Anexo 3C4'!F10</f>
        <v>0.87</v>
      </c>
      <c r="P11" s="2019">
        <f>'Anexo 3C4'!F14</f>
        <v>0.89</v>
      </c>
    </row>
    <row r="12" spans="2:16" ht="18" customHeight="1">
      <c r="B12" s="1555" t="s">
        <v>1770</v>
      </c>
      <c r="C12" s="1731">
        <f>'3C1 Quema de biomasa'!E25</f>
        <v>1012.4285951074652</v>
      </c>
      <c r="D12" s="2004">
        <f>'3C1 Quema de biomasa'!F25</f>
        <v>4</v>
      </c>
      <c r="E12" s="2004">
        <f>'3C1 Quema de biomasa'!G25</f>
        <v>0.85</v>
      </c>
      <c r="F12" s="2005" t="s">
        <v>41</v>
      </c>
      <c r="G12" s="1747">
        <f>'3C1 Quema de biomasa'!I14</f>
        <v>92</v>
      </c>
      <c r="H12" s="1748">
        <f>'3C1 Quema de biomasa'!I16</f>
        <v>2.5</v>
      </c>
      <c r="I12" s="1727">
        <f>'3C1 Quema de biomasa'!J25/1000</f>
        <v>9.29409450308653E-3</v>
      </c>
      <c r="J12" s="1742">
        <f>'3C1 Quema de biomasa'!L27/1000</f>
        <v>2.4095800563557671E-4</v>
      </c>
      <c r="L12" s="1700" t="s">
        <v>1771</v>
      </c>
      <c r="M12" s="1078">
        <f>'Anexo 3C4'!P9</f>
        <v>0.1</v>
      </c>
      <c r="N12" s="1078">
        <v>0.1</v>
      </c>
      <c r="O12" s="1078">
        <v>0.1</v>
      </c>
      <c r="P12" s="1078">
        <v>0.1</v>
      </c>
    </row>
    <row r="13" spans="2:16" ht="18" customHeight="1" thickBot="1">
      <c r="B13" s="1555" t="s">
        <v>1772</v>
      </c>
      <c r="C13" s="1731">
        <f>'3C1 Quema de biomasa'!E17</f>
        <v>46154.698060501731</v>
      </c>
      <c r="D13" s="1738">
        <f>'3C1 Quema de biomasa'!F17</f>
        <v>10</v>
      </c>
      <c r="E13" s="1738">
        <f>'3C1 Quema de biomasa'!G17</f>
        <v>0.8</v>
      </c>
      <c r="F13" s="2005" t="s">
        <v>41</v>
      </c>
      <c r="G13" s="1749">
        <f>'3C1 Quema de biomasa'!I17</f>
        <v>2.7</v>
      </c>
      <c r="H13" s="1748">
        <f>'3C1 Quema de biomasa'!I19</f>
        <v>7.0000000000000007E-2</v>
      </c>
      <c r="I13" s="1727">
        <f>'3C1 Quema de biomasa'!J17/1000</f>
        <v>0.99694147810683753</v>
      </c>
      <c r="J13" s="1742">
        <f>'3C1 Quema de biomasa'!L19/1000</f>
        <v>2.5846630913880973E-2</v>
      </c>
      <c r="L13" s="1701" t="s">
        <v>1773</v>
      </c>
      <c r="M13" s="1248">
        <v>0</v>
      </c>
      <c r="N13" s="1248">
        <v>0</v>
      </c>
      <c r="O13" s="1248">
        <v>0</v>
      </c>
      <c r="P13" s="1249">
        <v>0</v>
      </c>
    </row>
    <row r="14" spans="2:16" ht="18" customHeight="1">
      <c r="B14" s="1555" t="s">
        <v>1782</v>
      </c>
      <c r="C14" s="1732">
        <f>'3C1 Quema de biomasa'!E21</f>
        <v>30185.299847142101</v>
      </c>
      <c r="D14" s="1739">
        <f>'3C1 Quema de biomasa'!F21</f>
        <v>5.5</v>
      </c>
      <c r="E14" s="1739">
        <f>'3C1 Quema de biomasa'!G21</f>
        <v>0.8</v>
      </c>
      <c r="F14" s="2006" t="s">
        <v>41</v>
      </c>
      <c r="G14" s="1750">
        <f>'3C1 Quema de biomasa'!I21</f>
        <v>2.7</v>
      </c>
      <c r="H14" s="1751">
        <f>'3C1 Quema de biomasa'!I23</f>
        <v>7.0000000000000007E-2</v>
      </c>
      <c r="I14" s="1743">
        <f>'3C1 Quema de biomasa'!J21/1000</f>
        <v>0.35860136218404831</v>
      </c>
      <c r="J14" s="1744">
        <f>'3C1 Quema de biomasa'!L23/1000</f>
        <v>9.2970723529197698E-3</v>
      </c>
      <c r="L14" s="1702" t="s">
        <v>1774</v>
      </c>
      <c r="M14" s="1703"/>
      <c r="N14" s="1703"/>
      <c r="O14" s="1703"/>
      <c r="P14" s="1703"/>
    </row>
    <row r="15" spans="2:16" ht="18" customHeight="1" thickBot="1">
      <c r="B15" s="1704"/>
      <c r="C15" s="1733"/>
      <c r="D15" s="988"/>
      <c r="E15" s="988"/>
      <c r="F15" s="1589"/>
      <c r="G15" s="1752"/>
      <c r="H15" s="1753"/>
      <c r="I15" s="1728"/>
      <c r="J15" s="1742"/>
      <c r="L15" s="1705" t="s">
        <v>1775</v>
      </c>
      <c r="M15" s="1703"/>
      <c r="N15" s="1703"/>
      <c r="O15" s="1703"/>
      <c r="P15" s="1703"/>
    </row>
    <row r="16" spans="2:16" ht="18" customHeight="1" thickBot="1">
      <c r="B16" s="1706" t="s">
        <v>1776</v>
      </c>
      <c r="C16" s="2521">
        <f>+C17</f>
        <v>4563.7612234068729</v>
      </c>
      <c r="D16" s="2522">
        <f t="shared" ref="D16:E16" si="0">+D17</f>
        <v>0.38697993319391194</v>
      </c>
      <c r="E16" s="2522">
        <f t="shared" si="0"/>
        <v>0.85</v>
      </c>
      <c r="F16" s="2007" t="s">
        <v>41</v>
      </c>
      <c r="G16" s="1754">
        <v>2.7</v>
      </c>
      <c r="H16" s="1755">
        <v>7.0000000000000007E-2</v>
      </c>
      <c r="I16" s="2523">
        <f>I17</f>
        <v>4.0531628106312686E-3</v>
      </c>
      <c r="J16" s="2523">
        <f>J17</f>
        <v>1.0508199879414398E-4</v>
      </c>
      <c r="L16" s="1705"/>
      <c r="M16" s="1703"/>
      <c r="N16" s="1465"/>
      <c r="O16" s="1465"/>
      <c r="P16" s="1465"/>
    </row>
    <row r="17" spans="2:16" ht="18" customHeight="1">
      <c r="B17" s="1555" t="s">
        <v>1777</v>
      </c>
      <c r="C17" s="2524">
        <f>'3C1 Quema de biomasa'!E37</f>
        <v>4563.7612234068729</v>
      </c>
      <c r="D17" s="2525">
        <f>'3C1 Quema de biomasa'!F37</f>
        <v>0.38697993319391194</v>
      </c>
      <c r="E17" s="2525">
        <f>'3C1 Quema de biomasa'!G37</f>
        <v>0.85</v>
      </c>
      <c r="F17" s="2007" t="s">
        <v>41</v>
      </c>
      <c r="G17" s="1750">
        <v>2.7</v>
      </c>
      <c r="H17" s="1751">
        <v>7.0000000000000007E-2</v>
      </c>
      <c r="I17" s="2526">
        <f>'3C1 Quema de biomasa'!J37/1000</f>
        <v>4.0531628106312686E-3</v>
      </c>
      <c r="J17" s="2526">
        <f>'3C1 Quema de biomasa'!L39/1000</f>
        <v>1.0508199879414398E-4</v>
      </c>
      <c r="L17" s="1465"/>
      <c r="M17" s="1465"/>
      <c r="N17" s="1465"/>
      <c r="O17" s="1465"/>
      <c r="P17" s="1465"/>
    </row>
    <row r="18" spans="2:16" ht="18" customHeight="1" thickBot="1">
      <c r="B18" s="1708"/>
      <c r="C18" s="1735"/>
      <c r="D18" s="2527"/>
      <c r="E18" s="2527"/>
      <c r="F18" s="2008"/>
      <c r="G18" s="1756"/>
      <c r="H18" s="1757"/>
      <c r="I18" s="2012"/>
      <c r="J18" s="2013"/>
      <c r="L18" s="1465"/>
      <c r="M18" s="1465"/>
      <c r="N18" s="1465"/>
      <c r="O18" s="1465"/>
      <c r="P18" s="1465"/>
    </row>
    <row r="19" spans="2:16" ht="18" customHeight="1" thickBot="1">
      <c r="B19" s="1706" t="s">
        <v>1778</v>
      </c>
      <c r="C19" s="2521">
        <f>C20</f>
        <v>3823.6383194155578</v>
      </c>
      <c r="D19" s="2522">
        <f t="shared" ref="D19:E19" si="1">D20</f>
        <v>0.95876400000000006</v>
      </c>
      <c r="E19" s="2522">
        <f t="shared" si="1"/>
        <v>0.85</v>
      </c>
      <c r="F19" s="2007" t="s">
        <v>41</v>
      </c>
      <c r="G19" s="1750">
        <v>2.7</v>
      </c>
      <c r="H19" s="1751">
        <v>7.0000000000000007E-2</v>
      </c>
      <c r="I19" s="2523">
        <f>I20</f>
        <v>8.4133937364067376E-3</v>
      </c>
      <c r="J19" s="2523">
        <f>J20</f>
        <v>2.1812502279573023E-4</v>
      </c>
      <c r="L19" s="1465"/>
      <c r="M19" s="1465"/>
      <c r="N19" s="1465"/>
      <c r="O19" s="1465"/>
      <c r="P19" s="1465"/>
    </row>
    <row r="20" spans="2:16" ht="18" customHeight="1">
      <c r="B20" s="1555" t="s">
        <v>1779</v>
      </c>
      <c r="C20" s="2524">
        <f>'3C1 Quema de biomasa'!E33</f>
        <v>3823.6383194155578</v>
      </c>
      <c r="D20" s="2525">
        <f>'3C1 Quema de biomasa'!F33</f>
        <v>0.95876400000000006</v>
      </c>
      <c r="E20" s="2525">
        <f>'3C1 Quema de biomasa'!G33</f>
        <v>0.85</v>
      </c>
      <c r="F20" s="2007" t="s">
        <v>41</v>
      </c>
      <c r="G20" s="1750">
        <v>2.7</v>
      </c>
      <c r="H20" s="1751">
        <v>7.0000000000000007E-2</v>
      </c>
      <c r="I20" s="2526">
        <f>'3C1 Quema de biomasa'!J33/1000</f>
        <v>8.4133937364067376E-3</v>
      </c>
      <c r="J20" s="2526">
        <f>'3C1 Quema de biomasa'!L35/1000</f>
        <v>2.1812502279573023E-4</v>
      </c>
      <c r="L20" s="1465"/>
      <c r="M20" s="1465"/>
      <c r="N20" s="1465"/>
      <c r="O20" s="1465"/>
      <c r="P20" s="1465"/>
    </row>
    <row r="21" spans="2:16" ht="18" customHeight="1" thickBot="1">
      <c r="B21" s="1709"/>
      <c r="C21" s="1735"/>
      <c r="D21" s="1237"/>
      <c r="E21" s="1237"/>
      <c r="F21" s="2008"/>
      <c r="G21" s="1756"/>
      <c r="H21" s="1757"/>
      <c r="I21" s="1729"/>
      <c r="J21" s="1745"/>
      <c r="L21" s="1465"/>
      <c r="M21" s="1465"/>
      <c r="N21" s="1465"/>
      <c r="O21" s="1465"/>
      <c r="P21" s="1465"/>
    </row>
    <row r="22" spans="2:16" ht="18" customHeight="1" thickBot="1">
      <c r="B22" s="1710" t="s">
        <v>1780</v>
      </c>
      <c r="C22" s="1736">
        <f>'3C1 Quema de biomasa'!E29</f>
        <v>13277.142796349646</v>
      </c>
      <c r="D22" s="1740">
        <f>'3C1 Quema de biomasa'!F29</f>
        <v>6.5</v>
      </c>
      <c r="E22" s="1740">
        <f>'3C1 Quema de biomasa'!G29</f>
        <v>0.8</v>
      </c>
      <c r="F22" s="2009" t="s">
        <v>41</v>
      </c>
      <c r="G22" s="1758">
        <f>'3C1 Quema de biomasa'!I29</f>
        <v>2.7</v>
      </c>
      <c r="H22" s="1759">
        <f>'3C1 Quema de biomasa'!I31</f>
        <v>7.0000000000000007E-2</v>
      </c>
      <c r="I22" s="1730">
        <f>'3C1 Quema de biomasa'!J29/1000</f>
        <v>0.18641108486074906</v>
      </c>
      <c r="J22" s="1746">
        <f>'3C1 Quema de biomasa'!L31/1000</f>
        <v>4.8328799778712718E-3</v>
      </c>
      <c r="L22" s="1465"/>
      <c r="M22" s="1465"/>
      <c r="N22" s="1465"/>
      <c r="O22" s="1465"/>
      <c r="P22" s="1465"/>
    </row>
    <row r="23" spans="2:16" ht="18" customHeight="1">
      <c r="B23" s="1706" t="s">
        <v>1781</v>
      </c>
      <c r="C23" s="1734"/>
      <c r="D23" s="1707"/>
      <c r="E23" s="1707"/>
      <c r="F23" s="2007" t="s">
        <v>41</v>
      </c>
      <c r="G23" s="1754" t="s">
        <v>41</v>
      </c>
      <c r="H23" s="1755" t="s">
        <v>41</v>
      </c>
      <c r="I23" s="2010" t="s">
        <v>41</v>
      </c>
      <c r="J23" s="2011" t="s">
        <v>41</v>
      </c>
      <c r="L23" s="1465"/>
      <c r="M23" s="1465"/>
      <c r="N23" s="1465"/>
      <c r="O23" s="1465"/>
      <c r="P23" s="1465"/>
    </row>
    <row r="24" spans="2:16" ht="18" customHeight="1" thickBot="1">
      <c r="B24" s="1711"/>
      <c r="C24" s="1737"/>
      <c r="D24" s="1128"/>
      <c r="E24" s="1128"/>
      <c r="F24" s="1130"/>
      <c r="G24" s="1713"/>
      <c r="H24" s="1714"/>
      <c r="I24" s="1712"/>
      <c r="J24" s="1715"/>
      <c r="L24" s="1465"/>
      <c r="M24" s="1465"/>
      <c r="N24" s="1465"/>
      <c r="O24" s="1465"/>
      <c r="P24" s="1465"/>
    </row>
    <row r="25" spans="2:16" ht="12" customHeight="1">
      <c r="B25" s="1136"/>
      <c r="C25" s="1136"/>
      <c r="D25" s="1136"/>
      <c r="E25" s="1136"/>
      <c r="F25" s="1136"/>
      <c r="G25" s="1136"/>
      <c r="H25" s="1136"/>
      <c r="I25" s="1136"/>
      <c r="J25" s="1136"/>
      <c r="K25" s="1004"/>
      <c r="L25" s="1465"/>
      <c r="M25" s="1465"/>
      <c r="N25" s="1465"/>
      <c r="O25" s="1465"/>
      <c r="P25" s="1465"/>
    </row>
    <row r="26" spans="2:16" ht="12" customHeight="1">
      <c r="B26" s="1716"/>
      <c r="C26" s="1465"/>
      <c r="D26" s="1465"/>
      <c r="E26" s="1004"/>
      <c r="F26" s="1004"/>
      <c r="G26" s="1004"/>
      <c r="H26" s="1004"/>
      <c r="I26" s="1004"/>
      <c r="J26" s="1004"/>
      <c r="K26" s="1004"/>
      <c r="L26" s="1465"/>
      <c r="M26" s="1465"/>
      <c r="N26" s="1465"/>
      <c r="O26" s="1465"/>
      <c r="P26" s="1465"/>
    </row>
    <row r="27" spans="2:16" ht="12" customHeight="1">
      <c r="B27" s="1716"/>
      <c r="C27" s="1465"/>
      <c r="D27" s="1465"/>
      <c r="E27" s="1004"/>
      <c r="F27" s="1004"/>
      <c r="G27" s="1004"/>
      <c r="H27" s="1004"/>
      <c r="I27" s="1004"/>
      <c r="J27" s="1004"/>
      <c r="K27" s="1004"/>
      <c r="L27" s="1465"/>
      <c r="M27" s="1465"/>
      <c r="N27" s="1465"/>
      <c r="O27" s="1465"/>
      <c r="P27" s="1465"/>
    </row>
    <row r="28" spans="2:16" ht="12" customHeight="1">
      <c r="B28" s="1716"/>
      <c r="C28" s="1465"/>
      <c r="D28" s="1465"/>
      <c r="E28" s="1004"/>
      <c r="F28" s="1004"/>
      <c r="G28" s="1004"/>
      <c r="H28" s="1004"/>
      <c r="I28" s="1004"/>
      <c r="J28" s="1004"/>
      <c r="K28" s="1004"/>
      <c r="L28" s="1465"/>
      <c r="M28" s="1465"/>
      <c r="N28" s="1465"/>
      <c r="O28" s="1465"/>
      <c r="P28" s="1465"/>
    </row>
    <row r="29" spans="2:16" ht="12" customHeight="1">
      <c r="B29" s="1716"/>
      <c r="C29" s="1465"/>
      <c r="D29" s="1465"/>
      <c r="E29" s="1004"/>
      <c r="F29" s="1004"/>
      <c r="G29" s="1004"/>
      <c r="H29" s="1004"/>
      <c r="I29" s="1004"/>
      <c r="J29" s="1004"/>
      <c r="K29" s="1004"/>
      <c r="L29" s="1465"/>
      <c r="M29" s="1465"/>
      <c r="N29" s="1465"/>
      <c r="O29" s="1465"/>
      <c r="P29" s="1465"/>
    </row>
    <row r="30" spans="2:16" ht="12" customHeight="1">
      <c r="B30" s="1717"/>
      <c r="C30" s="1718"/>
      <c r="D30" s="1718"/>
      <c r="E30" s="1718"/>
      <c r="F30" s="1718"/>
      <c r="G30" s="1718"/>
      <c r="H30" s="1718"/>
      <c r="I30" s="1718"/>
      <c r="J30" s="1718"/>
      <c r="K30" s="1004"/>
      <c r="L30" s="1465"/>
      <c r="M30" s="1465"/>
      <c r="N30" s="1465"/>
      <c r="O30" s="1465"/>
      <c r="P30" s="1465"/>
    </row>
    <row r="31" spans="2:16" ht="12" customHeight="1" thickBot="1">
      <c r="L31" s="1465"/>
      <c r="M31" s="1465"/>
      <c r="N31" s="1465"/>
      <c r="O31" s="1465"/>
      <c r="P31" s="1465"/>
    </row>
    <row r="32" spans="2:16" ht="12" customHeight="1">
      <c r="B32" s="1719" t="s">
        <v>1568</v>
      </c>
      <c r="C32" s="1720"/>
      <c r="D32" s="1720"/>
      <c r="E32" s="1720"/>
      <c r="F32" s="1720"/>
      <c r="G32" s="1720"/>
      <c r="H32" s="1720"/>
      <c r="I32" s="1720"/>
      <c r="J32" s="1721"/>
      <c r="K32" s="1465"/>
    </row>
    <row r="33" spans="2:11" ht="12" customHeight="1">
      <c r="B33" s="1722" t="str">
        <f>'3C1 Quema de biomasa'!B51</f>
        <v>Dato</v>
      </c>
      <c r="C33" s="1722" t="str">
        <f>'3C1 Quema de biomasa'!C51</f>
        <v>Tipo</v>
      </c>
      <c r="D33" s="1722" t="str">
        <f>'3C1 Quema de biomasa'!D51</f>
        <v>Fuente</v>
      </c>
      <c r="E33" s="1722" t="str">
        <f>'3C1 Quema de biomasa'!E51</f>
        <v>Observaciones</v>
      </c>
      <c r="F33" s="1722"/>
      <c r="G33" s="1722"/>
      <c r="H33" s="1722"/>
      <c r="I33" s="2077"/>
      <c r="J33" s="1723"/>
      <c r="K33" s="1465"/>
    </row>
    <row r="34" spans="2:11" ht="12" customHeight="1">
      <c r="B34" s="2078" t="str">
        <f>'3C1 Quema de biomasa'!B52</f>
        <v>Area Quemada</v>
      </c>
      <c r="C34" s="2078" t="str">
        <f>'3C1 Quema de biomasa'!C52</f>
        <v>DA</v>
      </c>
      <c r="D34" s="2078" t="str">
        <f>'3C1 Quema de biomasa'!D52</f>
        <v>Tabla 3C4.1; ESPAC 2018 (corregida); FAOSTAT</v>
      </c>
      <c r="E34" s="2078" t="str">
        <f>'3C1 Quema de biomasa'!E52</f>
        <v>El dato de area quemada se obtiene de la tabla Tabla 3C4.1 en este libro de cálculo Anexo 3C4 en base al coeficiente de area quemada de la FAO 0,1</v>
      </c>
      <c r="F34" s="2079"/>
      <c r="G34" s="2079"/>
      <c r="H34" s="2079"/>
      <c r="I34" s="2079"/>
      <c r="J34" s="2080"/>
      <c r="K34" s="1465" t="s">
        <v>43</v>
      </c>
    </row>
    <row r="35" spans="2:11" ht="12" customHeight="1">
      <c r="B35" s="2078" t="str">
        <f>'3C1 Quema de biomasa'!B53</f>
        <v>MB Masa de combustible disponible para la combustión</v>
      </c>
      <c r="C35" s="2078" t="str">
        <f>'3C1 Quema de biomasa'!C53</f>
        <v>Factor intermedio</v>
      </c>
      <c r="D35" s="2078" t="str">
        <f>'3C1 Quema de biomasa'!D53</f>
        <v>Directrices del IPCC de 2006 para los inventarios nacionales de gases de efecto invernadero, Vol 4, Cap 2 (Tabla 2.4)</v>
      </c>
      <c r="E35" s="2078"/>
      <c r="F35" s="2079"/>
      <c r="G35" s="2079"/>
      <c r="H35" s="2079"/>
      <c r="I35" s="2079"/>
      <c r="J35" s="2080"/>
      <c r="K35" s="1465" t="s">
        <v>43</v>
      </c>
    </row>
    <row r="36" spans="2:11" ht="12" customHeight="1">
      <c r="B36" s="2078" t="str">
        <f>'3C1 Quema de biomasa'!B55</f>
        <v>Cf Factor de Combustión</v>
      </c>
      <c r="C36" s="2078" t="str">
        <f>'3C1 Quema de biomasa'!C55</f>
        <v>Factor intermedio</v>
      </c>
      <c r="D36" s="2078" t="str">
        <f>'3C1 Quema de biomasa'!D55</f>
        <v>Directrices del IPCC de 2006 para los inventarios nacionales de gases de efecto invernadero, Vol 4, Cap 2 (Tabla 2.6)</v>
      </c>
      <c r="E36" s="2078"/>
      <c r="F36" s="2079"/>
      <c r="G36" s="2079"/>
      <c r="H36" s="2079"/>
      <c r="I36" s="2079"/>
      <c r="J36" s="2080"/>
      <c r="K36" s="1465" t="s">
        <v>43</v>
      </c>
    </row>
    <row r="37" spans="2:11" ht="12" customHeight="1">
      <c r="B37" s="2078" t="str">
        <f>'3C1 Quema de biomasa'!B56</f>
        <v>Gef Factor de Emisión para cada GHG</v>
      </c>
      <c r="C37" s="2078" t="str">
        <f>'3C1 Quema de biomasa'!C56</f>
        <v>FE</v>
      </c>
      <c r="D37" s="2078" t="str">
        <f>'3C1 Quema de biomasa'!D56</f>
        <v>Directrices del IPCC de 2006 para los inventarios nacionales de gases de efecto invernadero, Vol 4, Cap 2 (Tabla 2.5)</v>
      </c>
      <c r="E37" s="2078"/>
      <c r="F37" s="2079"/>
      <c r="G37" s="2079"/>
      <c r="H37" s="2079"/>
      <c r="I37" s="2079"/>
      <c r="J37" s="2080"/>
      <c r="K37" s="1465" t="s">
        <v>43</v>
      </c>
    </row>
    <row r="38" spans="2:11" ht="12" customHeight="1">
      <c r="B38" s="2078" t="str">
        <f>'3C1 Quema de biomasa'!B57</f>
        <v>NOTA ADICIONAL</v>
      </c>
      <c r="C38" s="2078"/>
      <c r="D38" s="2078"/>
      <c r="E38" s="2078" t="str">
        <f>'3C1 Quema de biomasa'!E57</f>
        <v>La categoría quema de biomasa en tierras de cultivo es integrada en el inventario de agricultura debido a que forma parte d ela categoría 3C y sobretodo contabiliza la generación de gases CH4 y N2O en tierras de cultivo mayormente presentes en agricultura que en UTCUTS</v>
      </c>
      <c r="F38" s="2079"/>
      <c r="G38" s="2079"/>
      <c r="H38" s="2079"/>
      <c r="I38" s="2079"/>
      <c r="J38" s="2080"/>
      <c r="K38" s="1465" t="s">
        <v>43</v>
      </c>
    </row>
    <row r="39" spans="2:11" ht="12" customHeight="1">
      <c r="B39" s="1724"/>
      <c r="C39" s="1725"/>
      <c r="D39" s="1725"/>
      <c r="E39" s="1725"/>
      <c r="F39" s="1725"/>
      <c r="G39" s="1725"/>
      <c r="H39" s="1725"/>
      <c r="I39" s="1725"/>
      <c r="J39" s="1726"/>
      <c r="K39" s="1465" t="s">
        <v>43</v>
      </c>
    </row>
    <row r="40" spans="2:11" ht="12" customHeight="1" thickBot="1">
      <c r="B40" s="1474"/>
      <c r="C40" s="1475"/>
      <c r="D40" s="1475"/>
      <c r="E40" s="1475"/>
      <c r="F40" s="1475"/>
      <c r="G40" s="1475"/>
      <c r="H40" s="1475"/>
      <c r="I40" s="1475"/>
      <c r="J40" s="1476"/>
    </row>
  </sheetData>
  <dataValidations count="1">
    <dataValidation allowBlank="1" showInputMessage="1" showErrorMessage="1" sqref="C40:J65547 E7:E8 C1:D1 E1:I6 J1:K5 J6:L6 M1:Q6 K7:K65547 B1:B1048576 L6:P65547 Q7:Q65547 F7:J38 E10:E38 C3:D38" xr:uid="{D3DF13C6-573F-4EE0-9A0C-D7BEC81A3D5D}"/>
  </dataValidations>
  <hyperlinks>
    <hyperlink ref="B6" location="Index" display="Back to Index" xr:uid="{5881A47B-5B56-46B5-9980-9C7F3FACAF17}"/>
  </hyperlinks>
  <printOptions horizontalCentered="1" verticalCentered="1"/>
  <pageMargins left="0.39370078740157483" right="0.39370078740157483" top="0.39370078740157483" bottom="0.39370078740157483" header="0.19685039370078741" footer="0.19685039370078741"/>
  <pageSetup paperSize="9" scale="71" orientation="landscape" r:id="rId1"/>
  <headerFooter alignWithMargins="0">
    <oddFooter>&amp;L&amp;A</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2E61-889F-4B4C-961E-FED9F52A4DD7}">
  <sheetPr>
    <tabColor theme="5" tint="-0.499984740745262"/>
    <pageSetUpPr fitToPage="1"/>
  </sheetPr>
  <dimension ref="B1:F35"/>
  <sheetViews>
    <sheetView showGridLines="0" zoomScale="80" zoomScaleNormal="80" zoomScaleSheetLayoutView="100" workbookViewId="0">
      <selection activeCell="G14" sqref="G14"/>
    </sheetView>
  </sheetViews>
  <sheetFormatPr defaultColWidth="8" defaultRowHeight="12.5"/>
  <cols>
    <col min="1" max="1" width="1.4140625" style="1465" customWidth="1"/>
    <col min="2" max="2" width="47.6640625" style="1465" customWidth="1"/>
    <col min="3" max="3" width="25.5" style="1465" customWidth="1"/>
    <col min="4" max="4" width="25.1640625" style="1465" customWidth="1"/>
    <col min="5" max="5" width="19.08203125" style="1465" customWidth="1"/>
    <col min="6" max="16384" width="8" style="1465"/>
  </cols>
  <sheetData>
    <row r="1" spans="2:6" s="929" customFormat="1" ht="15">
      <c r="B1" s="1683" t="s">
        <v>1783</v>
      </c>
      <c r="E1" s="1160" t="s">
        <v>1455</v>
      </c>
      <c r="F1" s="929">
        <v>2018</v>
      </c>
    </row>
    <row r="2" spans="2:6" s="929" customFormat="1" ht="18">
      <c r="B2" s="1684" t="s">
        <v>1784</v>
      </c>
      <c r="C2" s="1684"/>
      <c r="E2" s="1160" t="s">
        <v>1457</v>
      </c>
    </row>
    <row r="3" spans="2:6" s="929" customFormat="1" ht="15">
      <c r="B3" s="1683" t="s">
        <v>1456</v>
      </c>
      <c r="E3" s="1160" t="s">
        <v>1458</v>
      </c>
      <c r="F3" s="929" t="s">
        <v>2243</v>
      </c>
    </row>
    <row r="4" spans="2:6" s="929" customFormat="1" ht="12" customHeight="1">
      <c r="B4" s="1683"/>
      <c r="E4" s="1160"/>
    </row>
    <row r="5" spans="2:6" s="929" customFormat="1" ht="12" customHeight="1">
      <c r="B5" s="1683"/>
      <c r="E5" s="1160"/>
    </row>
    <row r="6" spans="2:6" s="929" customFormat="1" ht="12" customHeight="1" thickBot="1">
      <c r="B6" s="932" t="s">
        <v>1459</v>
      </c>
    </row>
    <row r="7" spans="2:6" s="929" customFormat="1" ht="13">
      <c r="B7" s="1760" t="s">
        <v>1520</v>
      </c>
      <c r="C7" s="1761" t="s">
        <v>1785</v>
      </c>
      <c r="D7" s="1762" t="s">
        <v>1522</v>
      </c>
      <c r="E7" s="1763" t="s">
        <v>1786</v>
      </c>
    </row>
    <row r="8" spans="2:6" s="929" customFormat="1" ht="15">
      <c r="B8" s="1764"/>
      <c r="C8" s="1765" t="s">
        <v>1787</v>
      </c>
      <c r="D8" s="1766" t="s">
        <v>1788</v>
      </c>
      <c r="E8" s="1767" t="s">
        <v>1789</v>
      </c>
    </row>
    <row r="9" spans="2:6" s="929" customFormat="1" ht="15.5" thickBot="1">
      <c r="B9" s="1768"/>
      <c r="C9" s="1769" t="s">
        <v>1790</v>
      </c>
      <c r="D9" s="1770" t="s">
        <v>1791</v>
      </c>
      <c r="E9" s="1769" t="s">
        <v>1469</v>
      </c>
    </row>
    <row r="10" spans="2:6" s="929" customFormat="1" ht="18" customHeight="1" thickTop="1">
      <c r="B10" s="1771" t="s">
        <v>1792</v>
      </c>
      <c r="C10" s="1772"/>
      <c r="D10" s="1772"/>
      <c r="E10" s="1788">
        <f>SUM(E11:E13)</f>
        <v>230.26766076496159</v>
      </c>
    </row>
    <row r="11" spans="2:6" s="929" customFormat="1" ht="18" customHeight="1">
      <c r="B11" s="1773" t="s">
        <v>1793</v>
      </c>
      <c r="C11" s="1789">
        <f>'3C2 Encalado'!C13</f>
        <v>43920.160980973364</v>
      </c>
      <c r="D11" s="1791">
        <f>'3C2 Encalado'!D13</f>
        <v>0.12</v>
      </c>
      <c r="E11" s="1786">
        <f>('3C2 Encalado'!G13*(44/12))/1000</f>
        <v>19.324870831628278</v>
      </c>
    </row>
    <row r="12" spans="2:6" s="929" customFormat="1" ht="18" customHeight="1">
      <c r="B12" s="1773" t="s">
        <v>1794</v>
      </c>
      <c r="C12" s="1789">
        <f>'3C2 Encalado'!E14</f>
        <v>4414.8599999999997</v>
      </c>
      <c r="D12" s="1791">
        <f>'3C2 Encalado'!F14</f>
        <v>0.13</v>
      </c>
      <c r="E12" s="1786">
        <f>('3C2 Encalado'!G14*(44/12))/1000</f>
        <v>2.1044165999999995</v>
      </c>
    </row>
    <row r="13" spans="2:6" s="929" customFormat="1" ht="18" customHeight="1">
      <c r="B13" s="1771" t="s">
        <v>1795</v>
      </c>
      <c r="C13" s="1790">
        <f>'3C3 UREA'!C14</f>
        <v>284779.59999999998</v>
      </c>
      <c r="D13" s="1792">
        <f>'3C3 UREA'!D14</f>
        <v>0.2</v>
      </c>
      <c r="E13" s="1787">
        <f>('3C3 UREA'!E17*(44/12))/1000</f>
        <v>208.83837333333332</v>
      </c>
    </row>
    <row r="14" spans="2:6" s="929" customFormat="1" ht="18" customHeight="1">
      <c r="B14" s="1771" t="s">
        <v>1796</v>
      </c>
      <c r="C14" s="2497" t="s">
        <v>2211</v>
      </c>
      <c r="D14" s="2495" t="s">
        <v>2211</v>
      </c>
      <c r="E14" s="2496" t="s">
        <v>2211</v>
      </c>
    </row>
    <row r="15" spans="2:6" s="929" customFormat="1" ht="18" customHeight="1">
      <c r="B15" s="1771" t="s">
        <v>1797</v>
      </c>
      <c r="C15" s="1774"/>
      <c r="D15" s="1774"/>
      <c r="E15" s="1791" t="s">
        <v>41</v>
      </c>
    </row>
    <row r="16" spans="2:6" s="929" customFormat="1" ht="18" customHeight="1" thickBot="1">
      <c r="B16" s="1775"/>
      <c r="C16" s="1775"/>
      <c r="D16" s="1776"/>
      <c r="E16" s="1777"/>
    </row>
    <row r="17" spans="2:6" ht="12" customHeight="1"/>
    <row r="18" spans="2:6" ht="12" customHeight="1">
      <c r="B18" s="929"/>
    </row>
    <row r="19" spans="2:6" ht="12" customHeight="1">
      <c r="B19" s="929"/>
    </row>
    <row r="20" spans="2:6" ht="12" customHeight="1">
      <c r="B20" s="929"/>
    </row>
    <row r="21" spans="2:6" ht="12" customHeight="1">
      <c r="B21" s="929"/>
    </row>
    <row r="22" spans="2:6" ht="12" customHeight="1" thickBot="1">
      <c r="B22" s="929"/>
    </row>
    <row r="23" spans="2:6" ht="12" customHeight="1">
      <c r="B23" s="1315" t="s">
        <v>1568</v>
      </c>
      <c r="C23" s="1472"/>
      <c r="D23" s="1472"/>
      <c r="E23" s="1473"/>
    </row>
    <row r="24" spans="2:6" ht="12" customHeight="1">
      <c r="B24" s="1778" t="str">
        <f>'3C2 Encalado'!B19</f>
        <v>Dato</v>
      </c>
      <c r="C24" s="1778" t="str">
        <f>'3C2 Encalado'!D19</f>
        <v>Tipo</v>
      </c>
      <c r="D24" s="1778" t="str">
        <f>'3C2 Encalado'!E19</f>
        <v>Fuente</v>
      </c>
      <c r="E24" s="1778" t="str">
        <f>'3C2 Encalado'!F19</f>
        <v>Observaciones</v>
      </c>
      <c r="F24" s="1465" t="s">
        <v>43</v>
      </c>
    </row>
    <row r="25" spans="2:6" ht="12" customHeight="1">
      <c r="B25" s="2069" t="str">
        <f>'3C2 Encalado'!B20</f>
        <v xml:space="preserve">Cantidad anual de piedra caliza (CaCO3) </v>
      </c>
      <c r="C25" s="2069" t="str">
        <f>'3C2 Encalado'!D20</f>
        <v>DA</v>
      </c>
      <c r="D25" s="2069" t="str">
        <f>'3C2 Encalado'!E20</f>
        <v xml:space="preserve">tabla 3C2.1, Cooperativa de Cal y Cementina Chimborazo; Asociación de Productores de Cal de Chimborazo-Cotopaxi, estimado a 2014, el valor actualizado a 2018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v>
      </c>
      <c r="E25" s="2069" t="str">
        <f>'3C2 Encalado'!F20</f>
        <v>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2018 es extrapolado estadisticamente del dato calculado para 2014 debido a que los datos para dicho año son mas precisos</v>
      </c>
      <c r="F25" s="1465" t="s">
        <v>43</v>
      </c>
    </row>
    <row r="26" spans="2:6" ht="12" customHeight="1">
      <c r="B26" s="2069" t="str">
        <f>'3C2 Encalado'!B21</f>
        <v>EFPiedra caliza. Factor de emisión cal en piedra</v>
      </c>
      <c r="C26" s="2069" t="str">
        <f>'3C2 Encalado'!D21</f>
        <v>FE</v>
      </c>
      <c r="D26" s="2069" t="str">
        <f>'3C2 Encalado'!E21</f>
        <v xml:space="preserve">Directrices del IPCC de 2006 para los inventarios nacionales de gases de efecto invernadero, Vol 4, Cap 11 ( p. 11.31) </v>
      </c>
      <c r="E26" s="2069"/>
      <c r="F26" s="1465" t="s">
        <v>43</v>
      </c>
    </row>
    <row r="27" spans="2:6" ht="12" customHeight="1">
      <c r="B27" s="2069" t="str">
        <f>'3C2 Encalado'!B22</f>
        <v>Cantidad anual de dolomita (CaMg(CO3)2)</v>
      </c>
      <c r="C27" s="2069" t="str">
        <f>'3C2 Encalado'!D22</f>
        <v>DA</v>
      </c>
      <c r="D27" s="2069" t="str">
        <f>'3C2 Encalado'!E22</f>
        <v>tabla 3C2.1, BCE, Empresas: Calmosacorp, Calcarios Huayco tabla oferta utilización industria minerales no metalicos</v>
      </c>
      <c r="E27" s="2069" t="str">
        <f>'3C2 Encalado'!F22</f>
        <v>Se confirma con empresas nacionales que no existe producción domestica de dolomita, todo el producto usado en el país es importado, el uso agrícola de este insumo es asumido de igual forma que la piedra caliza al 50%</v>
      </c>
      <c r="F27" s="1465" t="s">
        <v>43</v>
      </c>
    </row>
    <row r="28" spans="2:6" ht="12" customHeight="1">
      <c r="B28" s="2069" t="str">
        <f>'3C2 Encalado'!B23</f>
        <v>EFPiedra caliza. Factor de emisión cal en piedra</v>
      </c>
      <c r="C28" s="2069" t="str">
        <f>'3C2 Encalado'!D23</f>
        <v>FE</v>
      </c>
      <c r="D28" s="2069" t="str">
        <f>'3C2 Encalado'!E23</f>
        <v xml:space="preserve">Directrices del IPCC de 2006 para los inventarios nacionales de gases de efecto invernadero, Vol 4, Cap 11 ( p. 11.31) </v>
      </c>
      <c r="E28" s="2069"/>
      <c r="F28" s="1465" t="s">
        <v>43</v>
      </c>
    </row>
    <row r="29" spans="2:6" ht="12" customHeight="1">
      <c r="B29" s="2069" t="str">
        <f>'3C3 UREA'!B22</f>
        <v>M: Cantidad anual de fertilización con urea</v>
      </c>
      <c r="C29" s="2069" t="str">
        <f>'3C3 UREA'!C22</f>
        <v>DA</v>
      </c>
      <c r="D29" s="2069" t="str">
        <f>'3C3 UREA'!D22</f>
        <v>Banco Central del Ecuador, Estadisticas de comercio exterior 2018, Dato proporcionado por Ministerio de Agricultura y Ganadería FAOSTAT "uso agricola de la urea"</v>
      </c>
      <c r="E29" s="2069" t="str">
        <f>'3C3 UREA'!E22</f>
        <v>Se usa el dato de urea del BCE pero depurado en función del uso en agricultura según la FAO disponible en FAOSTAT "uso agricola", no existe producción nacional del fertilizante. La estadistica fue cotejada con fuentes adicionales como SENAE, MAG, UNA, FAO</v>
      </c>
      <c r="F29" s="1465" t="s">
        <v>43</v>
      </c>
    </row>
    <row r="30" spans="2:6" ht="12" customHeight="1">
      <c r="B30" s="2069" t="str">
        <f>'3C3 UREA'!B23</f>
        <v>Factor de Emisión</v>
      </c>
      <c r="C30" s="2069" t="str">
        <f>'3C3 UREA'!C23</f>
        <v>FE</v>
      </c>
      <c r="D30" s="2069" t="str">
        <f>'3C3 UREA'!D23</f>
        <v xml:space="preserve">Directrices del IPCC de 2006 para los inventarios nacionales de gases de efecto invernadero, Vol 4, Cap 11 ( p. 11.34) </v>
      </c>
      <c r="E30" s="2069"/>
      <c r="F30" s="1465" t="s">
        <v>43</v>
      </c>
    </row>
    <row r="31" spans="2:6" ht="12" customHeight="1" thickBot="1">
      <c r="B31" s="1779"/>
      <c r="C31" s="1780"/>
      <c r="D31" s="1780"/>
      <c r="E31" s="1781"/>
      <c r="F31" s="1465" t="s">
        <v>43</v>
      </c>
    </row>
    <row r="32" spans="2:6" ht="12" customHeight="1" thickBot="1">
      <c r="B32" s="1782"/>
      <c r="C32" s="1783"/>
      <c r="D32" s="1783"/>
      <c r="E32" s="1784"/>
    </row>
    <row r="34" spans="2:2" ht="15.5">
      <c r="B34" s="1716"/>
    </row>
    <row r="35" spans="2:2">
      <c r="B35" s="1785"/>
    </row>
  </sheetData>
  <dataValidations count="1">
    <dataValidation allowBlank="1" showInputMessage="1" showErrorMessage="1" sqref="C24:E30 B23:B32" xr:uid="{2B486AE2-702C-4C70-94C0-DD6E536FC28A}"/>
  </dataValidations>
  <hyperlinks>
    <hyperlink ref="B6" location="Index" display="Back to Index" xr:uid="{ACE97F4C-4FA5-4EA2-8341-9CC6E00E80F1}"/>
  </hyperlinks>
  <printOptions horizontalCentered="1" verticalCentered="1"/>
  <pageMargins left="0.39370078740157483" right="0.39370078740157483" top="0.39370078740157483" bottom="0.39370078740157483" header="0.19685039370078741" footer="0.19685039370078741"/>
  <pageSetup paperSize="9" fitToHeight="0" orientation="landscape" r:id="rId1"/>
  <headerFooter alignWithMargins="0">
    <oddFooter>&amp;L&amp;A</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36C8-B88C-4DB0-A859-B8A73D837043}">
  <sheetPr>
    <pageSetUpPr fitToPage="1"/>
  </sheetPr>
  <dimension ref="A1:O84"/>
  <sheetViews>
    <sheetView showGridLines="0" topLeftCell="B1" zoomScaleNormal="100" workbookViewId="0">
      <pane ySplit="9" topLeftCell="A10" activePane="bottomLeft" state="frozen"/>
      <selection activeCell="B7" sqref="B7"/>
      <selection pane="bottomLeft" activeCell="P68" sqref="P68"/>
    </sheetView>
  </sheetViews>
  <sheetFormatPr defaultColWidth="8.33203125" defaultRowHeight="14.5"/>
  <cols>
    <col min="1" max="1" width="1.75" style="2097" customWidth="1"/>
    <col min="2" max="2" width="49.4140625" style="2097" bestFit="1" customWidth="1"/>
    <col min="3" max="8" width="9.58203125" style="2097" customWidth="1"/>
    <col min="9" max="14" width="7.83203125" style="2097" customWidth="1"/>
    <col min="15" max="15" width="16.08203125" style="2097" bestFit="1" customWidth="1"/>
    <col min="16" max="16384" width="8.33203125" style="2097"/>
  </cols>
  <sheetData>
    <row r="1" spans="1:15" ht="15">
      <c r="B1" s="1608" t="s">
        <v>2247</v>
      </c>
      <c r="C1" s="1608"/>
      <c r="D1" s="1608"/>
      <c r="E1" s="1608"/>
      <c r="F1" s="1608"/>
      <c r="G1" s="1608"/>
      <c r="N1" s="1160"/>
      <c r="O1" s="1160" t="s">
        <v>1455</v>
      </c>
    </row>
    <row r="2" spans="1:15" ht="15">
      <c r="A2" s="2098"/>
      <c r="B2" s="930" t="s">
        <v>1456</v>
      </c>
      <c r="C2" s="2424" t="s">
        <v>2216</v>
      </c>
      <c r="D2" s="2424">
        <v>28</v>
      </c>
      <c r="E2" s="2424">
        <v>265</v>
      </c>
      <c r="N2" s="1160"/>
      <c r="O2" s="1160" t="s">
        <v>1457</v>
      </c>
    </row>
    <row r="3" spans="1:15">
      <c r="N3" s="1160"/>
      <c r="O3" s="1160" t="s">
        <v>1458</v>
      </c>
    </row>
    <row r="4" spans="1:15" hidden="1">
      <c r="N4" s="1160"/>
      <c r="O4" s="1160"/>
    </row>
    <row r="5" spans="1:15" hidden="1">
      <c r="N5" s="1160"/>
      <c r="O5" s="1160"/>
    </row>
    <row r="6" spans="1:15" hidden="1">
      <c r="N6" s="1160"/>
      <c r="O6" s="1160"/>
    </row>
    <row r="7" spans="1:15" ht="15" thickBot="1">
      <c r="B7" s="2099" t="s">
        <v>1459</v>
      </c>
      <c r="D7" s="2100"/>
      <c r="N7" s="2101"/>
      <c r="O7" s="2101"/>
    </row>
    <row r="8" spans="1:15" ht="37">
      <c r="B8" s="2102" t="s">
        <v>1520</v>
      </c>
      <c r="C8" s="2103" t="s">
        <v>2248</v>
      </c>
      <c r="D8" s="2104" t="s">
        <v>1597</v>
      </c>
      <c r="E8" s="2104" t="s">
        <v>2249</v>
      </c>
      <c r="F8" s="2105" t="s">
        <v>2250</v>
      </c>
      <c r="G8" s="2106" t="s">
        <v>2251</v>
      </c>
      <c r="H8" s="2107" t="s">
        <v>2252</v>
      </c>
      <c r="I8" s="2108" t="s">
        <v>2253</v>
      </c>
      <c r="J8" s="2109" t="s">
        <v>2254</v>
      </c>
      <c r="K8" s="2108" t="s">
        <v>1464</v>
      </c>
      <c r="L8" s="2110" t="s">
        <v>2255</v>
      </c>
      <c r="M8" s="2110" t="s">
        <v>1465</v>
      </c>
      <c r="N8" s="2111" t="s">
        <v>2256</v>
      </c>
      <c r="O8" s="2112" t="s">
        <v>2257</v>
      </c>
    </row>
    <row r="9" spans="1:15" ht="18" customHeight="1" thickBot="1">
      <c r="A9" s="929"/>
      <c r="B9" s="2113"/>
      <c r="C9" s="2114" t="s">
        <v>1469</v>
      </c>
      <c r="D9" s="2115"/>
      <c r="E9" s="2116"/>
      <c r="F9" s="2117" t="s">
        <v>2258</v>
      </c>
      <c r="G9" s="2118"/>
      <c r="H9" s="2118"/>
      <c r="I9" s="2119" t="s">
        <v>1469</v>
      </c>
      <c r="J9" s="2120"/>
      <c r="K9" s="2120"/>
      <c r="L9" s="2120"/>
      <c r="M9" s="2120"/>
      <c r="N9" s="2121"/>
      <c r="O9" s="2122" t="s">
        <v>2258</v>
      </c>
    </row>
    <row r="10" spans="1:15" ht="18" customHeight="1" thickTop="1" thickBot="1">
      <c r="B10" s="2123" t="s">
        <v>2259</v>
      </c>
      <c r="C10" s="2124"/>
      <c r="D10" s="2125"/>
      <c r="E10" s="2125"/>
      <c r="F10" s="2125"/>
      <c r="G10" s="2125"/>
      <c r="H10" s="2125"/>
      <c r="I10" s="2125"/>
      <c r="J10" s="2126"/>
      <c r="K10" s="2125"/>
      <c r="L10" s="2125"/>
      <c r="M10" s="2125"/>
      <c r="N10" s="2127"/>
      <c r="O10" s="2128"/>
    </row>
    <row r="11" spans="1:15" ht="18" hidden="1" customHeight="1">
      <c r="B11" s="2129" t="s">
        <v>2260</v>
      </c>
      <c r="C11" s="2130"/>
      <c r="D11" s="2131"/>
      <c r="E11" s="2131"/>
      <c r="F11" s="2132"/>
      <c r="G11" s="2132"/>
      <c r="H11" s="2133"/>
      <c r="I11" s="2132"/>
      <c r="J11" s="2134"/>
      <c r="K11" s="2131"/>
      <c r="L11" s="2131"/>
      <c r="M11" s="2131"/>
      <c r="N11" s="2135"/>
      <c r="O11" s="2136"/>
    </row>
    <row r="12" spans="1:15" ht="18" hidden="1" customHeight="1">
      <c r="B12" s="2137" t="s">
        <v>2261</v>
      </c>
      <c r="C12" s="2138"/>
      <c r="D12" s="2139"/>
      <c r="E12" s="2139"/>
      <c r="F12" s="2140"/>
      <c r="G12" s="2140"/>
      <c r="H12" s="2140"/>
      <c r="I12" s="2140"/>
      <c r="J12" s="2141"/>
      <c r="K12" s="2139"/>
      <c r="L12" s="2139"/>
      <c r="M12" s="2139"/>
      <c r="N12" s="2142"/>
      <c r="O12" s="2143"/>
    </row>
    <row r="13" spans="1:15" ht="18" hidden="1" customHeight="1">
      <c r="B13" s="2144" t="s">
        <v>2262</v>
      </c>
      <c r="C13" s="2138"/>
      <c r="D13" s="2139"/>
      <c r="E13" s="2139"/>
      <c r="F13" s="2140"/>
      <c r="G13" s="2140"/>
      <c r="H13" s="2140"/>
      <c r="I13" s="2140"/>
      <c r="J13" s="2141"/>
      <c r="K13" s="2139"/>
      <c r="L13" s="2139"/>
      <c r="M13" s="2139"/>
      <c r="N13" s="2142"/>
      <c r="O13" s="2145"/>
    </row>
    <row r="14" spans="1:15" ht="18" hidden="1" customHeight="1">
      <c r="B14" s="2144" t="s">
        <v>2263</v>
      </c>
      <c r="C14" s="2138"/>
      <c r="D14" s="2146"/>
      <c r="E14" s="2146"/>
      <c r="F14" s="2147"/>
      <c r="G14" s="2147"/>
      <c r="H14" s="2147"/>
      <c r="I14" s="2147"/>
      <c r="J14" s="2141"/>
      <c r="K14" s="2146"/>
      <c r="L14" s="2146"/>
      <c r="M14" s="2146"/>
      <c r="N14" s="2148"/>
      <c r="O14" s="2149"/>
    </row>
    <row r="15" spans="1:15" ht="18" hidden="1" customHeight="1">
      <c r="B15" s="2144" t="s">
        <v>2264</v>
      </c>
      <c r="C15" s="2138"/>
      <c r="D15" s="2139"/>
      <c r="E15" s="2139"/>
      <c r="F15" s="2140"/>
      <c r="G15" s="2140"/>
      <c r="H15" s="2140"/>
      <c r="I15" s="2140"/>
      <c r="J15" s="2141"/>
      <c r="K15" s="2139"/>
      <c r="L15" s="2139"/>
      <c r="M15" s="2139"/>
      <c r="N15" s="2142"/>
      <c r="O15" s="2145"/>
    </row>
    <row r="16" spans="1:15" ht="18" hidden="1" customHeight="1">
      <c r="B16" s="2144" t="s">
        <v>2265</v>
      </c>
      <c r="C16" s="2138"/>
      <c r="D16" s="2139"/>
      <c r="E16" s="2139"/>
      <c r="F16" s="2140"/>
      <c r="G16" s="2140"/>
      <c r="H16" s="2140"/>
      <c r="I16" s="2140"/>
      <c r="J16" s="2141"/>
      <c r="K16" s="2139"/>
      <c r="L16" s="2139"/>
      <c r="M16" s="2139"/>
      <c r="N16" s="2142"/>
      <c r="O16" s="2145"/>
    </row>
    <row r="17" spans="2:15" ht="18" hidden="1" customHeight="1">
      <c r="B17" s="2144" t="s">
        <v>2266</v>
      </c>
      <c r="C17" s="2138"/>
      <c r="D17" s="2139"/>
      <c r="E17" s="2139"/>
      <c r="F17" s="2140"/>
      <c r="G17" s="2140"/>
      <c r="H17" s="2140"/>
      <c r="I17" s="2140"/>
      <c r="J17" s="2141"/>
      <c r="K17" s="2139"/>
      <c r="L17" s="2139"/>
      <c r="M17" s="2139"/>
      <c r="N17" s="2142"/>
      <c r="O17" s="2145"/>
    </row>
    <row r="18" spans="2:15" ht="18" hidden="1" customHeight="1">
      <c r="B18" s="2137" t="s">
        <v>2267</v>
      </c>
      <c r="C18" s="2150"/>
      <c r="D18" s="2151"/>
      <c r="E18" s="2151"/>
      <c r="F18" s="2140"/>
      <c r="G18" s="2140"/>
      <c r="H18" s="2140"/>
      <c r="I18" s="2140"/>
      <c r="J18" s="2141"/>
      <c r="K18" s="2139"/>
      <c r="L18" s="2139"/>
      <c r="M18" s="2139"/>
      <c r="N18" s="2142"/>
      <c r="O18" s="2145"/>
    </row>
    <row r="19" spans="2:15" ht="18" hidden="1" customHeight="1">
      <c r="B19" s="2144" t="s">
        <v>2268</v>
      </c>
      <c r="C19" s="2152"/>
      <c r="D19" s="2153"/>
      <c r="E19" s="2151"/>
      <c r="F19" s="2140"/>
      <c r="G19" s="2140"/>
      <c r="H19" s="2140"/>
      <c r="I19" s="2140"/>
      <c r="J19" s="2141"/>
      <c r="K19" s="2139"/>
      <c r="L19" s="2139"/>
      <c r="M19" s="2139"/>
      <c r="N19" s="2142"/>
      <c r="O19" s="2145"/>
    </row>
    <row r="20" spans="2:15" ht="18" hidden="1" customHeight="1">
      <c r="B20" s="2154" t="s">
        <v>2269</v>
      </c>
      <c r="C20" s="2152"/>
      <c r="D20" s="2155"/>
      <c r="E20" s="2151"/>
      <c r="F20" s="2147"/>
      <c r="G20" s="2147"/>
      <c r="H20" s="2147"/>
      <c r="I20" s="2147"/>
      <c r="J20" s="2141"/>
      <c r="K20" s="2146"/>
      <c r="L20" s="2146"/>
      <c r="M20" s="2146"/>
      <c r="N20" s="2148"/>
      <c r="O20" s="2149"/>
    </row>
    <row r="21" spans="2:15" ht="18" hidden="1" customHeight="1" thickBot="1">
      <c r="B21" s="2156" t="s">
        <v>2270</v>
      </c>
      <c r="C21" s="2157"/>
      <c r="D21" s="2158"/>
      <c r="E21" s="2158"/>
      <c r="F21" s="2147"/>
      <c r="G21" s="2147"/>
      <c r="H21" s="2147"/>
      <c r="I21" s="2147"/>
      <c r="J21" s="2147"/>
      <c r="K21" s="2159"/>
      <c r="L21" s="2159"/>
      <c r="M21" s="2159"/>
      <c r="N21" s="2160"/>
      <c r="O21" s="2149"/>
    </row>
    <row r="22" spans="2:15" ht="18" hidden="1" customHeight="1">
      <c r="B22" s="2161" t="s">
        <v>2271</v>
      </c>
      <c r="C22" s="2162"/>
      <c r="D22" s="2163"/>
      <c r="E22" s="2164"/>
      <c r="F22" s="2131"/>
      <c r="G22" s="2131"/>
      <c r="H22" s="2131"/>
      <c r="I22" s="2131"/>
      <c r="J22" s="2131"/>
      <c r="K22" s="2131"/>
      <c r="L22" s="2131"/>
      <c r="M22" s="2131"/>
      <c r="N22" s="2135"/>
      <c r="O22" s="2136"/>
    </row>
    <row r="23" spans="2:15" ht="18" hidden="1" customHeight="1">
      <c r="B23" s="2165" t="s">
        <v>2272</v>
      </c>
      <c r="C23" s="2166"/>
      <c r="D23" s="2167"/>
      <c r="E23" s="2168"/>
      <c r="F23" s="2168"/>
      <c r="G23" s="2168"/>
      <c r="H23" s="2168"/>
      <c r="I23" s="2168"/>
      <c r="J23" s="2141"/>
      <c r="K23" s="2169"/>
      <c r="L23" s="2169"/>
      <c r="M23" s="2169"/>
      <c r="N23" s="2170"/>
      <c r="O23" s="2143"/>
    </row>
    <row r="24" spans="2:15" ht="18" hidden="1" customHeight="1">
      <c r="B24" s="2165" t="s">
        <v>2273</v>
      </c>
      <c r="C24" s="2166"/>
      <c r="D24" s="2171"/>
      <c r="E24" s="2172"/>
      <c r="F24" s="2139"/>
      <c r="G24" s="2139"/>
      <c r="H24" s="2139"/>
      <c r="I24" s="2139"/>
      <c r="J24" s="2173"/>
      <c r="K24" s="2139"/>
      <c r="L24" s="2139"/>
      <c r="M24" s="2139"/>
      <c r="N24" s="2142"/>
      <c r="O24" s="2145"/>
    </row>
    <row r="25" spans="2:15" ht="18" hidden="1" customHeight="1">
      <c r="B25" s="2165" t="s">
        <v>2274</v>
      </c>
      <c r="C25" s="2166"/>
      <c r="D25" s="2171"/>
      <c r="E25" s="2172"/>
      <c r="F25" s="2139"/>
      <c r="G25" s="2139"/>
      <c r="H25" s="2139"/>
      <c r="I25" s="2139"/>
      <c r="J25" s="2139"/>
      <c r="K25" s="2139"/>
      <c r="L25" s="2139"/>
      <c r="M25" s="2139"/>
      <c r="N25" s="2142"/>
      <c r="O25" s="2145"/>
    </row>
    <row r="26" spans="2:15" ht="18" hidden="1" customHeight="1">
      <c r="B26" s="2165" t="s">
        <v>2275</v>
      </c>
      <c r="C26" s="2166"/>
      <c r="D26" s="2174"/>
      <c r="E26" s="2175"/>
      <c r="F26" s="2140"/>
      <c r="G26" s="2140"/>
      <c r="H26" s="2140"/>
      <c r="I26" s="2140"/>
      <c r="J26" s="2141"/>
      <c r="K26" s="2172"/>
      <c r="L26" s="2172"/>
      <c r="M26" s="2172"/>
      <c r="N26" s="2176"/>
      <c r="O26" s="2145"/>
    </row>
    <row r="27" spans="2:15" ht="18" hidden="1" customHeight="1">
      <c r="B27" s="2165" t="s">
        <v>2276</v>
      </c>
      <c r="C27" s="2177"/>
      <c r="D27" s="2178"/>
      <c r="E27" s="2175"/>
      <c r="F27" s="2179"/>
      <c r="G27" s="2179"/>
      <c r="H27" s="2179"/>
      <c r="I27" s="2179"/>
      <c r="J27" s="2173"/>
      <c r="K27" s="2147"/>
      <c r="L27" s="2147"/>
      <c r="M27" s="2147"/>
      <c r="N27" s="2180"/>
      <c r="O27" s="2149"/>
    </row>
    <row r="28" spans="2:15" ht="18" hidden="1" customHeight="1">
      <c r="B28" s="2165" t="s">
        <v>2277</v>
      </c>
      <c r="C28" s="2177"/>
      <c r="D28" s="2178"/>
      <c r="E28" s="2147"/>
      <c r="F28" s="2146"/>
      <c r="G28" s="2146"/>
      <c r="H28" s="2146"/>
      <c r="I28" s="2146"/>
      <c r="J28" s="2173"/>
      <c r="K28" s="2147"/>
      <c r="L28" s="2147"/>
      <c r="M28" s="2147"/>
      <c r="N28" s="2180"/>
      <c r="O28" s="2149"/>
    </row>
    <row r="29" spans="2:15" ht="18" hidden="1" customHeight="1">
      <c r="B29" s="2165" t="s">
        <v>2278</v>
      </c>
      <c r="C29" s="2181"/>
      <c r="D29" s="2182"/>
      <c r="E29" s="2183"/>
      <c r="F29" s="2179"/>
      <c r="G29" s="2179"/>
      <c r="H29" s="2179"/>
      <c r="I29" s="2179"/>
      <c r="J29" s="2173"/>
      <c r="K29" s="2183"/>
      <c r="L29" s="2183"/>
      <c r="M29" s="2183"/>
      <c r="N29" s="2184"/>
      <c r="O29" s="2149"/>
    </row>
    <row r="30" spans="2:15" ht="18" hidden="1" customHeight="1" thickBot="1">
      <c r="B30" s="2185" t="s">
        <v>2279</v>
      </c>
      <c r="C30" s="2186"/>
      <c r="D30" s="2187"/>
      <c r="E30" s="2188"/>
      <c r="F30" s="2188"/>
      <c r="G30" s="2188"/>
      <c r="H30" s="2188"/>
      <c r="I30" s="2188"/>
      <c r="J30" s="2189"/>
      <c r="K30" s="2188"/>
      <c r="L30" s="2188"/>
      <c r="M30" s="2188"/>
      <c r="N30" s="2190"/>
      <c r="O30" s="2191"/>
    </row>
    <row r="31" spans="2:15" ht="18" customHeight="1">
      <c r="B31" s="2192" t="s">
        <v>2280</v>
      </c>
      <c r="C31" s="2416">
        <f>SUM(C32:C41)</f>
        <v>230.26766076496165</v>
      </c>
      <c r="D31" s="2411">
        <f>SUM(D32:D37)</f>
        <v>336.95694137280304</v>
      </c>
      <c r="E31" s="2411">
        <f>SUM(E32:E37)</f>
        <v>10.235235772990103</v>
      </c>
      <c r="F31" s="2195"/>
      <c r="G31" s="2195"/>
      <c r="H31" s="2195"/>
      <c r="I31" s="2195"/>
      <c r="J31" s="2195"/>
      <c r="K31" s="2423">
        <f>SUM(K35:K37)</f>
        <v>1.450885893015093</v>
      </c>
      <c r="L31" s="2423">
        <f>SUM(L35:L37)</f>
        <v>53.392600862955433</v>
      </c>
      <c r="M31" s="2196" t="s">
        <v>2211</v>
      </c>
      <c r="N31" s="2197" t="s">
        <v>2212</v>
      </c>
      <c r="O31" s="2425">
        <f>C31+(D31*D$2)+(E31*E$2)</f>
        <v>12377.399499045823</v>
      </c>
    </row>
    <row r="32" spans="2:15" ht="18" customHeight="1">
      <c r="B32" s="2198" t="s">
        <v>2281</v>
      </c>
      <c r="C32" s="2177"/>
      <c r="D32" s="2412">
        <f>Table3.A!G6</f>
        <v>281.84371557863011</v>
      </c>
      <c r="E32" s="2413"/>
      <c r="F32" s="2200"/>
      <c r="G32" s="2200"/>
      <c r="H32" s="2167"/>
      <c r="I32" s="2200"/>
      <c r="J32" s="2167"/>
      <c r="K32" s="2168"/>
      <c r="L32" s="2168"/>
      <c r="M32" s="2168"/>
      <c r="N32" s="2201"/>
      <c r="O32" s="2425">
        <f t="shared" ref="O32:O39" si="0">C32+(D32*D$2)+(E32*E$2)</f>
        <v>7891.6240362016433</v>
      </c>
    </row>
    <row r="33" spans="2:15" ht="18" customHeight="1">
      <c r="B33" s="2198" t="s">
        <v>2282</v>
      </c>
      <c r="C33" s="2177"/>
      <c r="D33" s="2414">
        <f>'Table3.B(a)'!K5</f>
        <v>15.824680030861442</v>
      </c>
      <c r="E33" s="2408">
        <f>'Table3.B(b)'!X48+'Table3.B(b)'!Y45+'Table3.B(b)'!Z45</f>
        <v>1.3775502073719694</v>
      </c>
      <c r="F33" s="2200"/>
      <c r="G33" s="2200"/>
      <c r="H33" s="2200"/>
      <c r="I33" s="2200"/>
      <c r="J33" s="2200"/>
      <c r="K33" s="2140"/>
      <c r="L33" s="2140"/>
      <c r="M33" s="2202" t="s">
        <v>2211</v>
      </c>
      <c r="N33" s="2203"/>
      <c r="O33" s="2425">
        <f t="shared" si="0"/>
        <v>808.14184581769223</v>
      </c>
    </row>
    <row r="34" spans="2:15" ht="18" customHeight="1">
      <c r="B34" s="2198" t="s">
        <v>2283</v>
      </c>
      <c r="C34" s="2177"/>
      <c r="D34" s="2408">
        <f>Table3.C!C25</f>
        <v>37.734055555402222</v>
      </c>
      <c r="E34" s="2409"/>
      <c r="F34" s="2200"/>
      <c r="G34" s="2200"/>
      <c r="H34" s="2200"/>
      <c r="I34" s="2200"/>
      <c r="J34" s="2200"/>
      <c r="K34" s="2140"/>
      <c r="L34" s="2140"/>
      <c r="M34" s="2202" t="s">
        <v>2211</v>
      </c>
      <c r="N34" s="2203"/>
      <c r="O34" s="2425">
        <f t="shared" si="0"/>
        <v>1056.5535555512622</v>
      </c>
    </row>
    <row r="35" spans="2:15" ht="18" customHeight="1">
      <c r="B35" s="2198" t="s">
        <v>2284</v>
      </c>
      <c r="C35" s="2204"/>
      <c r="D35" s="2415" t="s">
        <v>2211</v>
      </c>
      <c r="E35" s="2408">
        <f>Table3.D!F10+Table3.D!F21</f>
        <v>8.8173839676353012</v>
      </c>
      <c r="F35" s="2200"/>
      <c r="G35" s="2200"/>
      <c r="H35" s="2200"/>
      <c r="I35" s="2200"/>
      <c r="J35" s="2200"/>
      <c r="K35" s="2202" t="s">
        <v>2212</v>
      </c>
      <c r="L35" s="2202" t="s">
        <v>2212</v>
      </c>
      <c r="M35" s="2202" t="s">
        <v>2212</v>
      </c>
      <c r="N35" s="2203"/>
      <c r="O35" s="2425">
        <f>C35+(E35*E$2)</f>
        <v>2336.606751423355</v>
      </c>
    </row>
    <row r="36" spans="2:15" ht="18" customHeight="1">
      <c r="B36" s="2198" t="s">
        <v>2285</v>
      </c>
      <c r="C36" s="2177"/>
      <c r="D36" s="2415" t="s">
        <v>41</v>
      </c>
      <c r="E36" s="2415" t="s">
        <v>41</v>
      </c>
      <c r="F36" s="2200"/>
      <c r="G36" s="2200"/>
      <c r="H36" s="2200"/>
      <c r="I36" s="2200"/>
      <c r="J36" s="2200"/>
      <c r="K36" s="2202" t="s">
        <v>41</v>
      </c>
      <c r="L36" s="2202" t="s">
        <v>41</v>
      </c>
      <c r="M36" s="2202" t="s">
        <v>41</v>
      </c>
      <c r="N36" s="2203"/>
      <c r="O36" s="2425" t="s">
        <v>41</v>
      </c>
    </row>
    <row r="37" spans="2:15" ht="18" customHeight="1">
      <c r="B37" s="2198" t="s">
        <v>2286</v>
      </c>
      <c r="C37" s="2177"/>
      <c r="D37" s="2408">
        <f>Table3.F!I10+Table3.F!I22</f>
        <v>1.5544902079092626</v>
      </c>
      <c r="E37" s="2408">
        <f>Table3.F!J10+Table3.F!J22</f>
        <v>4.030159798283274E-2</v>
      </c>
      <c r="F37" s="2200"/>
      <c r="G37" s="2200"/>
      <c r="H37" s="2200"/>
      <c r="I37" s="2200"/>
      <c r="J37" s="2200"/>
      <c r="K37" s="2410">
        <f>Table3!F52</f>
        <v>1.450885893015093</v>
      </c>
      <c r="L37" s="2410">
        <f>Table3!G52</f>
        <v>53.392600862955433</v>
      </c>
      <c r="M37" s="2202" t="s">
        <v>2212</v>
      </c>
      <c r="N37" s="2203"/>
      <c r="O37" s="2425">
        <f t="shared" si="0"/>
        <v>54.205649286910031</v>
      </c>
    </row>
    <row r="38" spans="2:15" ht="18" customHeight="1">
      <c r="B38" s="2205" t="s">
        <v>1512</v>
      </c>
      <c r="C38" s="2417">
        <f>Table3!C53</f>
        <v>21.429287431628282</v>
      </c>
      <c r="D38" s="2418"/>
      <c r="E38" s="2418"/>
      <c r="F38" s="2178"/>
      <c r="G38" s="2178"/>
      <c r="H38" s="2178"/>
      <c r="I38" s="2178"/>
      <c r="J38" s="2178"/>
      <c r="K38" s="2206"/>
      <c r="L38" s="2206"/>
      <c r="M38" s="2206"/>
      <c r="N38" s="2180"/>
      <c r="O38" s="2425">
        <f t="shared" si="0"/>
        <v>21.429287431628282</v>
      </c>
    </row>
    <row r="39" spans="2:15" ht="18" customHeight="1">
      <c r="B39" s="2205" t="s">
        <v>1513</v>
      </c>
      <c r="C39" s="2417">
        <f>Table3!C54</f>
        <v>208.83837333333335</v>
      </c>
      <c r="D39" s="2418"/>
      <c r="E39" s="2418"/>
      <c r="F39" s="2178"/>
      <c r="G39" s="2178"/>
      <c r="H39" s="2178"/>
      <c r="I39" s="2178"/>
      <c r="J39" s="2178"/>
      <c r="K39" s="2206"/>
      <c r="L39" s="2206"/>
      <c r="M39" s="2206"/>
      <c r="N39" s="2180"/>
      <c r="O39" s="2425">
        <f t="shared" si="0"/>
        <v>208.83837333333335</v>
      </c>
    </row>
    <row r="40" spans="2:15" ht="18" customHeight="1">
      <c r="B40" s="2205" t="s">
        <v>2287</v>
      </c>
      <c r="C40" s="2419" t="s">
        <v>2211</v>
      </c>
      <c r="D40" s="2418"/>
      <c r="E40" s="2418"/>
      <c r="F40" s="2178"/>
      <c r="G40" s="2178"/>
      <c r="H40" s="2178"/>
      <c r="I40" s="2178"/>
      <c r="J40" s="2178"/>
      <c r="K40" s="2206"/>
      <c r="L40" s="2206"/>
      <c r="M40" s="2206"/>
      <c r="N40" s="2180"/>
      <c r="O40" s="2425" t="s">
        <v>2211</v>
      </c>
    </row>
    <row r="41" spans="2:15" ht="18" customHeight="1" thickBot="1">
      <c r="B41" s="2207" t="s">
        <v>2288</v>
      </c>
      <c r="C41" s="2420" t="s">
        <v>2212</v>
      </c>
      <c r="D41" s="2421" t="s">
        <v>2212</v>
      </c>
      <c r="E41" s="2422" t="s">
        <v>2212</v>
      </c>
      <c r="F41" s="2208"/>
      <c r="G41" s="2208"/>
      <c r="H41" s="2208"/>
      <c r="I41" s="2208"/>
      <c r="J41" s="2209"/>
      <c r="K41" s="2426" t="s">
        <v>2212</v>
      </c>
      <c r="L41" s="2426" t="s">
        <v>2212</v>
      </c>
      <c r="M41" s="2426" t="s">
        <v>2212</v>
      </c>
      <c r="N41" s="2426" t="s">
        <v>2212</v>
      </c>
      <c r="O41" s="2425" t="s">
        <v>2212</v>
      </c>
    </row>
    <row r="42" spans="2:15" ht="18" hidden="1" customHeight="1">
      <c r="B42" s="2192" t="s">
        <v>2289</v>
      </c>
      <c r="C42" s="2211"/>
      <c r="D42" s="2212"/>
      <c r="E42" s="2213"/>
      <c r="F42" s="2195"/>
      <c r="G42" s="2195"/>
      <c r="H42" s="2195"/>
      <c r="I42" s="2195"/>
      <c r="J42" s="2195"/>
      <c r="K42" s="2214"/>
      <c r="L42" s="2214"/>
      <c r="M42" s="2215"/>
      <c r="N42" s="2216"/>
      <c r="O42" s="2136"/>
    </row>
    <row r="43" spans="2:15" ht="18" hidden="1" customHeight="1">
      <c r="B43" s="2198" t="s">
        <v>2290</v>
      </c>
      <c r="C43" s="2217"/>
      <c r="D43" s="2218"/>
      <c r="E43" s="2219"/>
      <c r="F43" s="2178"/>
      <c r="G43" s="2178"/>
      <c r="H43" s="2178"/>
      <c r="I43" s="2178"/>
      <c r="J43" s="2178"/>
      <c r="K43" s="2202"/>
      <c r="L43" s="2202"/>
      <c r="M43" s="2220"/>
      <c r="N43" s="2221"/>
      <c r="O43" s="2222"/>
    </row>
    <row r="44" spans="2:15" ht="18" hidden="1" customHeight="1">
      <c r="B44" s="2198" t="s">
        <v>2291</v>
      </c>
      <c r="C44" s="2217"/>
      <c r="D44" s="2223"/>
      <c r="E44" s="2223"/>
      <c r="F44" s="2200"/>
      <c r="G44" s="2200"/>
      <c r="H44" s="2200"/>
      <c r="I44" s="2200"/>
      <c r="J44" s="2200"/>
      <c r="K44" s="2202"/>
      <c r="L44" s="2202"/>
      <c r="M44" s="2202"/>
      <c r="N44" s="2224"/>
      <c r="O44" s="2145"/>
    </row>
    <row r="45" spans="2:15" ht="18" hidden="1" customHeight="1">
      <c r="B45" s="2198" t="s">
        <v>2292</v>
      </c>
      <c r="C45" s="2217"/>
      <c r="D45" s="2223"/>
      <c r="E45" s="2223"/>
      <c r="F45" s="2200"/>
      <c r="G45" s="2200"/>
      <c r="H45" s="2200"/>
      <c r="I45" s="2200"/>
      <c r="J45" s="2200"/>
      <c r="K45" s="2202"/>
      <c r="L45" s="2202"/>
      <c r="M45" s="2202"/>
      <c r="N45" s="2224"/>
      <c r="O45" s="2145"/>
    </row>
    <row r="46" spans="2:15" ht="18" hidden="1" customHeight="1">
      <c r="B46" s="2198" t="s">
        <v>2293</v>
      </c>
      <c r="C46" s="2217"/>
      <c r="D46" s="2223"/>
      <c r="E46" s="2223"/>
      <c r="F46" s="2200"/>
      <c r="G46" s="2200"/>
      <c r="H46" s="2200"/>
      <c r="I46" s="2200"/>
      <c r="J46" s="2200"/>
      <c r="K46" s="2202"/>
      <c r="L46" s="2202"/>
      <c r="M46" s="2202"/>
      <c r="N46" s="2224"/>
      <c r="O46" s="2145"/>
    </row>
    <row r="47" spans="2:15" ht="18" hidden="1" customHeight="1">
      <c r="B47" s="2198" t="s">
        <v>2294</v>
      </c>
      <c r="C47" s="2217"/>
      <c r="D47" s="2223"/>
      <c r="E47" s="2225"/>
      <c r="F47" s="2200"/>
      <c r="G47" s="2200"/>
      <c r="H47" s="2200"/>
      <c r="I47" s="2200"/>
      <c r="J47" s="2200"/>
      <c r="K47" s="2202"/>
      <c r="L47" s="2202"/>
      <c r="M47" s="2202"/>
      <c r="N47" s="2226"/>
      <c r="O47" s="2145"/>
    </row>
    <row r="48" spans="2:15" ht="18" hidden="1" customHeight="1">
      <c r="B48" s="2198" t="s">
        <v>2295</v>
      </c>
      <c r="C48" s="2217"/>
      <c r="D48" s="2227"/>
      <c r="E48" s="2228"/>
      <c r="F48" s="2178"/>
      <c r="G48" s="2178"/>
      <c r="H48" s="2178"/>
      <c r="I48" s="2178"/>
      <c r="J48" s="2178"/>
      <c r="K48" s="2202"/>
      <c r="L48" s="2202"/>
      <c r="M48" s="2202"/>
      <c r="N48" s="1635"/>
      <c r="O48" s="2149"/>
    </row>
    <row r="49" spans="2:15" ht="18" hidden="1" customHeight="1">
      <c r="B49" s="2198" t="s">
        <v>2296</v>
      </c>
      <c r="C49" s="2229"/>
      <c r="D49" s="2178"/>
      <c r="E49" s="2178"/>
      <c r="F49" s="2178"/>
      <c r="G49" s="2178"/>
      <c r="H49" s="2178"/>
      <c r="I49" s="2178"/>
      <c r="J49" s="2178"/>
      <c r="K49" s="2178"/>
      <c r="L49" s="2178"/>
      <c r="M49" s="2178"/>
      <c r="N49" s="2230"/>
      <c r="O49" s="2149"/>
    </row>
    <row r="50" spans="2:15" ht="18" hidden="1" customHeight="1" thickBot="1">
      <c r="B50" s="2207" t="s">
        <v>2297</v>
      </c>
      <c r="C50" s="2231"/>
      <c r="D50" s="2232"/>
      <c r="E50" s="2232"/>
      <c r="F50" s="2208"/>
      <c r="G50" s="2208"/>
      <c r="H50" s="2208"/>
      <c r="I50" s="2208"/>
      <c r="J50" s="2208"/>
      <c r="K50" s="2233"/>
      <c r="L50" s="2233"/>
      <c r="M50" s="2233"/>
      <c r="N50" s="2234"/>
      <c r="O50" s="2191"/>
    </row>
    <row r="51" spans="2:15" ht="18" hidden="1" customHeight="1">
      <c r="B51" s="2235" t="s">
        <v>2298</v>
      </c>
      <c r="C51" s="2236"/>
      <c r="D51" s="2193"/>
      <c r="E51" s="2194"/>
      <c r="F51" s="2195"/>
      <c r="G51" s="2195"/>
      <c r="H51" s="2195"/>
      <c r="I51" s="2195"/>
      <c r="J51" s="2195"/>
      <c r="K51" s="2196"/>
      <c r="L51" s="2196"/>
      <c r="M51" s="2196"/>
      <c r="N51" s="2197"/>
      <c r="O51" s="2237"/>
    </row>
    <row r="52" spans="2:15" ht="18" hidden="1" customHeight="1">
      <c r="B52" s="2198" t="s">
        <v>2299</v>
      </c>
      <c r="C52" s="2238"/>
      <c r="D52" s="2193"/>
      <c r="E52" s="2239"/>
      <c r="F52" s="2195"/>
      <c r="G52" s="2195"/>
      <c r="H52" s="2195"/>
      <c r="I52" s="2195"/>
      <c r="J52" s="2195"/>
      <c r="K52" s="2196"/>
      <c r="L52" s="2196"/>
      <c r="M52" s="2196"/>
      <c r="N52" s="2197"/>
      <c r="O52" s="2237"/>
    </row>
    <row r="53" spans="2:15" ht="18" hidden="1" customHeight="1">
      <c r="B53" s="2198" t="s">
        <v>2300</v>
      </c>
      <c r="C53" s="2238"/>
      <c r="D53" s="2199"/>
      <c r="E53" s="2194"/>
      <c r="F53" s="2200"/>
      <c r="G53" s="2200"/>
      <c r="H53" s="2200"/>
      <c r="I53" s="2200"/>
      <c r="J53" s="2200"/>
      <c r="K53" s="2202"/>
      <c r="L53" s="2202"/>
      <c r="M53" s="2202"/>
      <c r="N53" s="2201"/>
      <c r="O53" s="2143"/>
    </row>
    <row r="54" spans="2:15" ht="18" hidden="1" customHeight="1">
      <c r="B54" s="2198" t="s">
        <v>2301</v>
      </c>
      <c r="C54" s="2240"/>
      <c r="D54" s="2153"/>
      <c r="E54" s="2153"/>
      <c r="F54" s="2200"/>
      <c r="G54" s="2200"/>
      <c r="H54" s="2200"/>
      <c r="I54" s="2200"/>
      <c r="J54" s="2200"/>
      <c r="K54" s="2202"/>
      <c r="L54" s="2202"/>
      <c r="M54" s="2202"/>
      <c r="N54" s="2241"/>
      <c r="O54" s="2242"/>
    </row>
    <row r="55" spans="2:15" ht="18" hidden="1" customHeight="1">
      <c r="B55" s="2198" t="s">
        <v>2302</v>
      </c>
      <c r="C55" s="2177"/>
      <c r="D55" s="2153"/>
      <c r="E55" s="2153"/>
      <c r="F55" s="2200"/>
      <c r="G55" s="2200"/>
      <c r="H55" s="2200"/>
      <c r="I55" s="2200"/>
      <c r="J55" s="2200"/>
      <c r="K55" s="2202"/>
      <c r="L55" s="2202"/>
      <c r="M55" s="2202"/>
      <c r="N55" s="2241"/>
      <c r="O55" s="2242"/>
    </row>
    <row r="56" spans="2:15" ht="18" hidden="1" customHeight="1" thickBot="1">
      <c r="B56" s="2207" t="s">
        <v>2303</v>
      </c>
      <c r="C56" s="2186"/>
      <c r="D56" s="2187"/>
      <c r="E56" s="2187"/>
      <c r="F56" s="2208"/>
      <c r="G56" s="2208"/>
      <c r="H56" s="2208"/>
      <c r="I56" s="2208"/>
      <c r="J56" s="2208"/>
      <c r="K56" s="2233"/>
      <c r="L56" s="2233"/>
      <c r="M56" s="2233"/>
      <c r="N56" s="2210"/>
      <c r="O56" s="2243"/>
    </row>
    <row r="57" spans="2:15" ht="18" hidden="1" customHeight="1">
      <c r="B57" s="2235" t="s">
        <v>2304</v>
      </c>
      <c r="C57" s="2236"/>
      <c r="D57" s="2212"/>
      <c r="E57" s="2213"/>
      <c r="F57" s="2213"/>
      <c r="G57" s="2213"/>
      <c r="H57" s="2213"/>
      <c r="I57" s="2213"/>
      <c r="J57" s="2213"/>
      <c r="K57" s="2214"/>
      <c r="L57" s="2214"/>
      <c r="M57" s="2214"/>
      <c r="N57" s="2216"/>
      <c r="O57" s="2244"/>
    </row>
    <row r="58" spans="2:15" ht="18" customHeight="1" thickBot="1">
      <c r="B58" s="2245"/>
      <c r="C58" s="2246"/>
      <c r="D58" s="2247"/>
      <c r="E58" s="2248"/>
      <c r="F58" s="2248"/>
      <c r="G58" s="2248"/>
      <c r="H58" s="2248"/>
      <c r="I58" s="2248"/>
      <c r="J58" s="2248"/>
      <c r="K58" s="2249"/>
      <c r="L58" s="2249"/>
      <c r="M58" s="2249"/>
      <c r="N58" s="2250"/>
      <c r="O58" s="2251"/>
    </row>
    <row r="59" spans="2:15" ht="18" customHeight="1" thickBot="1">
      <c r="B59" s="2252"/>
      <c r="C59" s="2253"/>
      <c r="D59" s="2253"/>
      <c r="E59" s="2253"/>
      <c r="F59" s="2253"/>
      <c r="G59" s="2253"/>
      <c r="H59" s="2253"/>
      <c r="I59" s="2253"/>
      <c r="J59" s="2253"/>
      <c r="K59" s="2254"/>
      <c r="L59" s="2254"/>
      <c r="M59" s="2254"/>
      <c r="N59" s="2254"/>
      <c r="O59" s="2254"/>
    </row>
    <row r="60" spans="2:15" ht="18" hidden="1" customHeight="1">
      <c r="B60" s="2255" t="s">
        <v>2305</v>
      </c>
      <c r="C60" s="2256"/>
      <c r="D60" s="2257"/>
      <c r="E60" s="2257"/>
      <c r="F60" s="2257"/>
      <c r="G60" s="2257"/>
      <c r="H60" s="2257"/>
      <c r="I60" s="2257"/>
      <c r="J60" s="2257"/>
      <c r="K60" s="2257"/>
      <c r="L60" s="2257"/>
      <c r="M60" s="2257"/>
      <c r="N60" s="2258"/>
      <c r="O60" s="2259"/>
    </row>
    <row r="61" spans="2:15" ht="18" hidden="1" customHeight="1">
      <c r="B61" s="2260" t="s">
        <v>2306</v>
      </c>
      <c r="C61" s="2261"/>
      <c r="D61" s="2262"/>
      <c r="E61" s="2262"/>
      <c r="F61" s="2263"/>
      <c r="G61" s="2263"/>
      <c r="H61" s="2263"/>
      <c r="I61" s="2263"/>
      <c r="J61" s="2263"/>
      <c r="K61" s="2262"/>
      <c r="L61" s="2262"/>
      <c r="M61" s="2262"/>
      <c r="N61" s="2264"/>
      <c r="O61" s="2145"/>
    </row>
    <row r="62" spans="2:15" ht="18" hidden="1" customHeight="1">
      <c r="B62" s="2144" t="s">
        <v>2307</v>
      </c>
      <c r="C62" s="2265"/>
      <c r="D62" s="2169"/>
      <c r="E62" s="2169"/>
      <c r="F62" s="2263"/>
      <c r="G62" s="2263"/>
      <c r="H62" s="2263"/>
      <c r="I62" s="2263"/>
      <c r="J62" s="959"/>
      <c r="K62" s="2169"/>
      <c r="L62" s="2169"/>
      <c r="M62" s="2169"/>
      <c r="N62" s="2170"/>
      <c r="O62" s="2143"/>
    </row>
    <row r="63" spans="2:15" ht="18" hidden="1" customHeight="1">
      <c r="B63" s="2266" t="s">
        <v>2308</v>
      </c>
      <c r="C63" s="2265"/>
      <c r="D63" s="2139"/>
      <c r="E63" s="2139"/>
      <c r="F63" s="2263"/>
      <c r="G63" s="2263"/>
      <c r="H63" s="2263"/>
      <c r="I63" s="2263"/>
      <c r="J63" s="2263"/>
      <c r="K63" s="2139"/>
      <c r="L63" s="2139"/>
      <c r="M63" s="2139"/>
      <c r="N63" s="2142"/>
      <c r="O63" s="2145"/>
    </row>
    <row r="64" spans="2:15" ht="18" hidden="1" customHeight="1">
      <c r="B64" s="2267" t="s">
        <v>2309</v>
      </c>
      <c r="C64" s="2261"/>
      <c r="D64" s="2262"/>
      <c r="E64" s="2262"/>
      <c r="F64" s="2263"/>
      <c r="G64" s="2263"/>
      <c r="H64" s="2263"/>
      <c r="I64" s="2263"/>
      <c r="J64" s="2263"/>
      <c r="K64" s="2262"/>
      <c r="L64" s="2262"/>
      <c r="M64" s="2262"/>
      <c r="N64" s="2264"/>
      <c r="O64" s="2145"/>
    </row>
    <row r="65" spans="2:15" ht="18" hidden="1" customHeight="1">
      <c r="B65" s="2268" t="s">
        <v>2310</v>
      </c>
      <c r="C65" s="2269"/>
      <c r="D65" s="2270"/>
      <c r="E65" s="2270"/>
      <c r="F65" s="2271"/>
      <c r="G65" s="2271"/>
      <c r="H65" s="2271"/>
      <c r="I65" s="2271"/>
      <c r="J65" s="2270"/>
      <c r="K65" s="2270"/>
      <c r="L65" s="2270"/>
      <c r="M65" s="2270"/>
      <c r="N65" s="2272"/>
      <c r="O65" s="2222"/>
    </row>
    <row r="66" spans="2:15" ht="18" hidden="1" customHeight="1">
      <c r="B66" s="2273" t="s">
        <v>2311</v>
      </c>
      <c r="C66" s="2274"/>
      <c r="D66" s="2275"/>
      <c r="E66" s="2275"/>
      <c r="F66" s="2275"/>
      <c r="G66" s="2275"/>
      <c r="H66" s="2275"/>
      <c r="I66" s="2275"/>
      <c r="J66" s="2275"/>
      <c r="K66" s="2275"/>
      <c r="L66" s="2275"/>
      <c r="M66" s="2275"/>
      <c r="N66" s="2276"/>
      <c r="O66" s="2145"/>
    </row>
    <row r="67" spans="2:15" ht="18" hidden="1" customHeight="1" thickBot="1">
      <c r="B67" s="2277" t="s">
        <v>2312</v>
      </c>
      <c r="C67" s="2274"/>
      <c r="D67" s="2271"/>
      <c r="E67" s="2271"/>
      <c r="F67" s="2278"/>
      <c r="G67" s="2271"/>
      <c r="H67" s="2271"/>
      <c r="I67" s="2271"/>
      <c r="J67" s="2271"/>
      <c r="K67" s="2271"/>
      <c r="L67" s="2271"/>
      <c r="M67" s="2271"/>
      <c r="N67" s="2279"/>
      <c r="O67" s="2149"/>
    </row>
    <row r="68" spans="2:15" ht="18" customHeight="1" thickBot="1">
      <c r="B68" s="2280" t="s">
        <v>2313</v>
      </c>
      <c r="C68" s="2281"/>
      <c r="D68" s="2282"/>
      <c r="E68" s="2283"/>
      <c r="F68" s="2282"/>
      <c r="G68" s="2282"/>
      <c r="H68" s="2282"/>
      <c r="I68" s="2282"/>
      <c r="J68" s="2282"/>
      <c r="K68" s="2282"/>
      <c r="L68" s="2282"/>
      <c r="M68" s="2282"/>
      <c r="N68" s="2284"/>
      <c r="O68" s="2285"/>
    </row>
    <row r="69" spans="2:15" ht="18" customHeight="1" thickBot="1">
      <c r="B69" s="2286"/>
      <c r="C69" s="2287"/>
      <c r="D69" s="2287"/>
      <c r="E69" s="2287"/>
      <c r="F69" s="2287"/>
      <c r="G69" s="2287"/>
      <c r="H69" s="2287"/>
      <c r="I69" s="2287"/>
      <c r="J69" s="2287"/>
      <c r="K69" s="2287"/>
      <c r="L69" s="2287"/>
      <c r="M69" s="2287"/>
      <c r="N69" s="2287"/>
      <c r="O69" s="2287"/>
    </row>
    <row r="70" spans="2:15" ht="18" customHeight="1" thickBot="1">
      <c r="B70" s="2288" t="s">
        <v>2314</v>
      </c>
      <c r="C70" s="2283"/>
      <c r="D70" s="2289"/>
      <c r="E70" s="2282"/>
      <c r="F70" s="2282"/>
      <c r="G70" s="2282"/>
      <c r="H70" s="2282"/>
      <c r="I70" s="2282"/>
      <c r="J70" s="2282"/>
      <c r="K70" s="2282"/>
      <c r="L70" s="2282"/>
      <c r="M70" s="2282"/>
      <c r="N70" s="2284"/>
      <c r="O70" s="2285"/>
    </row>
    <row r="71" spans="2:15">
      <c r="B71" s="2290"/>
    </row>
    <row r="72" spans="2:15">
      <c r="B72" s="2291"/>
      <c r="C72" s="2291"/>
      <c r="D72" s="2291"/>
      <c r="E72" s="2291"/>
      <c r="F72" s="2291"/>
      <c r="G72" s="2291"/>
      <c r="H72" s="2291"/>
      <c r="I72" s="2291"/>
      <c r="J72" s="2291"/>
      <c r="K72" s="2291"/>
      <c r="L72" s="2291"/>
      <c r="M72" s="2291"/>
      <c r="N72" s="2291"/>
      <c r="O72" s="2291"/>
    </row>
    <row r="73" spans="2:15">
      <c r="B73" s="2292"/>
      <c r="C73" s="2291"/>
      <c r="D73" s="2291"/>
      <c r="E73" s="2291"/>
      <c r="F73" s="2291"/>
      <c r="G73" s="2291"/>
      <c r="H73" s="2291"/>
      <c r="I73" s="2291"/>
      <c r="J73" s="2291"/>
      <c r="K73" s="2291"/>
      <c r="L73" s="2291"/>
      <c r="M73" s="2291"/>
      <c r="N73" s="2291"/>
      <c r="O73" s="2291"/>
    </row>
    <row r="74" spans="2:15">
      <c r="B74" s="2293"/>
      <c r="C74" s="2293"/>
      <c r="D74" s="2293"/>
      <c r="E74" s="2293"/>
      <c r="F74" s="2293"/>
      <c r="G74" s="2293"/>
      <c r="H74" s="2293"/>
      <c r="I74" s="2293"/>
      <c r="J74" s="2293"/>
      <c r="K74" s="2293"/>
      <c r="L74" s="2293"/>
      <c r="M74" s="2293"/>
      <c r="N74" s="2294"/>
      <c r="O74" s="2294"/>
    </row>
    <row r="75" spans="2:15">
      <c r="B75" s="2295"/>
      <c r="C75" s="2293"/>
      <c r="D75" s="2293"/>
      <c r="E75" s="2293"/>
      <c r="F75" s="2293"/>
      <c r="G75" s="2293"/>
      <c r="H75" s="2293"/>
      <c r="I75" s="2293"/>
      <c r="J75" s="2293"/>
      <c r="K75" s="2293"/>
      <c r="L75" s="2293"/>
      <c r="M75" s="2293"/>
      <c r="N75" s="2294"/>
      <c r="O75" s="2294"/>
    </row>
    <row r="76" spans="2:15">
      <c r="B76" s="2296"/>
      <c r="C76" s="2296"/>
      <c r="D76" s="2296"/>
      <c r="E76" s="2296"/>
      <c r="F76" s="2296"/>
      <c r="G76" s="2294"/>
      <c r="H76" s="2294"/>
      <c r="I76" s="2294"/>
      <c r="J76" s="2294"/>
      <c r="K76" s="2294"/>
      <c r="L76" s="2294"/>
      <c r="M76" s="2294"/>
      <c r="N76" s="2294"/>
      <c r="O76" s="2294"/>
    </row>
    <row r="77" spans="2:15">
      <c r="B77" s="2296"/>
      <c r="C77" s="2296"/>
      <c r="D77" s="2296"/>
      <c r="E77" s="2296"/>
      <c r="F77" s="2296"/>
      <c r="G77" s="2294"/>
      <c r="H77" s="2294"/>
      <c r="I77" s="2294"/>
      <c r="J77" s="2294"/>
      <c r="K77" s="2294"/>
      <c r="L77" s="2294"/>
      <c r="M77" s="2294"/>
      <c r="N77" s="2294"/>
      <c r="O77" s="2294"/>
    </row>
    <row r="78" spans="2:15">
      <c r="B78" s="2297"/>
      <c r="C78" s="2297"/>
      <c r="D78" s="2297"/>
      <c r="E78" s="2297"/>
      <c r="F78" s="2297"/>
      <c r="G78" s="2297"/>
      <c r="H78" s="2294"/>
      <c r="I78" s="2294"/>
      <c r="J78" s="2294"/>
      <c r="K78" s="2294"/>
      <c r="L78" s="2294"/>
      <c r="M78" s="2294"/>
      <c r="N78" s="2294"/>
      <c r="O78" s="2294"/>
    </row>
    <row r="79" spans="2:15">
      <c r="B79" s="2298"/>
      <c r="C79" s="2294"/>
      <c r="D79" s="2294"/>
      <c r="E79" s="2294"/>
      <c r="F79" s="2294"/>
      <c r="G79" s="2294"/>
      <c r="H79" s="2294"/>
      <c r="I79" s="2294"/>
      <c r="J79" s="2294"/>
      <c r="K79" s="2294"/>
      <c r="L79" s="2294"/>
      <c r="M79" s="2294"/>
      <c r="N79" s="2294"/>
      <c r="O79" s="2294"/>
    </row>
    <row r="80" spans="2:15">
      <c r="B80" s="2299"/>
      <c r="C80" s="2294"/>
      <c r="D80" s="2294"/>
      <c r="E80" s="2294"/>
      <c r="F80" s="2294"/>
      <c r="G80" s="2294"/>
      <c r="H80" s="2294"/>
      <c r="I80" s="2294"/>
      <c r="J80" s="2294"/>
      <c r="K80" s="2294"/>
      <c r="L80" s="2294"/>
      <c r="M80" s="2294"/>
      <c r="N80" s="2294"/>
      <c r="O80" s="2294"/>
    </row>
    <row r="81" spans="2:15">
      <c r="B81" s="2298"/>
      <c r="C81" s="2298"/>
      <c r="D81" s="2298"/>
      <c r="E81" s="2298"/>
      <c r="F81" s="2298"/>
      <c r="G81" s="2298"/>
      <c r="H81" s="2298"/>
      <c r="I81" s="2298"/>
    </row>
    <row r="82" spans="2:15">
      <c r="B82" s="2300"/>
      <c r="C82" s="2300"/>
      <c r="D82" s="2300"/>
      <c r="E82" s="2300"/>
      <c r="F82" s="2300"/>
      <c r="G82" s="2300"/>
      <c r="H82" s="2300"/>
      <c r="I82" s="2300"/>
      <c r="J82" s="2300"/>
      <c r="K82" s="2300"/>
      <c r="L82" s="2300"/>
      <c r="M82" s="2300"/>
      <c r="N82" s="2301"/>
      <c r="O82" s="2301"/>
    </row>
    <row r="83" spans="2:15">
      <c r="B83" s="2299"/>
    </row>
    <row r="84" spans="2:15">
      <c r="B84" s="2299"/>
    </row>
  </sheetData>
  <dataValidations count="1">
    <dataValidation allowBlank="1" showInputMessage="1" showErrorMessage="1" sqref="J1:J7 K1:N8 I1:I8 D31:J59 C82:M82 C74:M75 C31 C60 D60:N71 H1:H30 I10:N30 C2:G30 N41:N59 M49:M59 B1:B82 O1:O71 K31:N40 K41:L59 M41:M43" xr:uid="{3CB22BA8-4B25-4DB6-9731-C78B6981561D}"/>
  </dataValidations>
  <hyperlinks>
    <hyperlink ref="B7" location="Index" display="Back to Index" xr:uid="{B28DA389-AD9C-4AAF-9A4C-2E2797F32666}"/>
  </hyperlinks>
  <printOptions horizontalCentered="1" verticalCentered="1"/>
  <pageMargins left="0.39370078740157483" right="0.39370078740157483" top="0.39370078740157483" bottom="0.39370078740157483" header="0.19685039370078741" footer="0.19685039370078741"/>
  <pageSetup paperSize="9" scale="52" fitToHeight="0" orientation="portrait" r:id="rId1"/>
  <headerFooter alignWithMargins="0">
    <oddFooter>&amp;L&amp;A</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533E-3FDC-4E7C-AF5C-0CFD6E1E5466}">
  <sheetPr>
    <pageSetUpPr fitToPage="1"/>
  </sheetPr>
  <dimension ref="B1:L78"/>
  <sheetViews>
    <sheetView showGridLines="0" zoomScaleNormal="100" zoomScaleSheetLayoutView="100" workbookViewId="0">
      <pane ySplit="9" topLeftCell="A10" activePane="bottomLeft" state="frozen"/>
      <selection activeCell="B7" sqref="B7"/>
      <selection pane="bottomLeft" activeCell="B3" sqref="B3"/>
    </sheetView>
  </sheetViews>
  <sheetFormatPr defaultColWidth="7.33203125" defaultRowHeight="12.5"/>
  <cols>
    <col min="1" max="1" width="1.75" style="1465" customWidth="1"/>
    <col min="2" max="2" width="52.25" style="1465" customWidth="1"/>
    <col min="3" max="3" width="10.9140625" style="1465" customWidth="1"/>
    <col min="4" max="4" width="10.08203125" style="1465" customWidth="1"/>
    <col min="5" max="5" width="10" style="1465" customWidth="1"/>
    <col min="6" max="6" width="11.83203125" style="1465" customWidth="1"/>
    <col min="7" max="7" width="10.1640625" style="1465" customWidth="1"/>
    <col min="8" max="10" width="9.25" style="1465" customWidth="1"/>
    <col min="11" max="11" width="10.1640625" style="1465" customWidth="1"/>
    <col min="12" max="12" width="10" style="1465" customWidth="1"/>
    <col min="13" max="16384" width="7.33203125" style="1465"/>
  </cols>
  <sheetData>
    <row r="1" spans="2:12" ht="18">
      <c r="B1" s="1608" t="s">
        <v>2315</v>
      </c>
      <c r="C1" s="1608"/>
      <c r="D1" s="1608"/>
      <c r="E1" s="1608"/>
      <c r="F1" s="1608"/>
      <c r="K1" s="1160" t="s">
        <v>1455</v>
      </c>
    </row>
    <row r="2" spans="2:12" ht="15">
      <c r="B2" s="930" t="s">
        <v>1456</v>
      </c>
      <c r="K2" s="1160" t="s">
        <v>1457</v>
      </c>
    </row>
    <row r="3" spans="2:12">
      <c r="K3" s="1160" t="s">
        <v>1458</v>
      </c>
    </row>
    <row r="4" spans="2:12" hidden="1">
      <c r="K4" s="1160"/>
    </row>
    <row r="5" spans="2:12" hidden="1">
      <c r="K5" s="1160"/>
    </row>
    <row r="6" spans="2:12" hidden="1">
      <c r="K6" s="1160"/>
    </row>
    <row r="7" spans="2:12" ht="13.5" thickBot="1">
      <c r="B7" s="932" t="s">
        <v>1459</v>
      </c>
      <c r="K7" s="2302"/>
    </row>
    <row r="8" spans="2:12" ht="34.5">
      <c r="B8" s="2303" t="s">
        <v>1460</v>
      </c>
      <c r="C8" s="2304" t="s">
        <v>2316</v>
      </c>
      <c r="D8" s="2304" t="s">
        <v>1597</v>
      </c>
      <c r="E8" s="2304" t="s">
        <v>2249</v>
      </c>
      <c r="F8" s="2304" t="s">
        <v>2317</v>
      </c>
      <c r="G8" s="2304" t="s">
        <v>2060</v>
      </c>
      <c r="H8" s="2107" t="s">
        <v>2318</v>
      </c>
      <c r="I8" s="2106" t="s">
        <v>2253</v>
      </c>
      <c r="J8" s="2304" t="s">
        <v>2319</v>
      </c>
      <c r="K8" s="2305" t="s">
        <v>2320</v>
      </c>
    </row>
    <row r="9" spans="2:12" ht="18" customHeight="1" thickBot="1">
      <c r="B9" s="2306" t="s">
        <v>1468</v>
      </c>
      <c r="C9" s="2117" t="s">
        <v>2321</v>
      </c>
      <c r="D9" s="2118"/>
      <c r="E9" s="2118"/>
      <c r="F9" s="2118"/>
      <c r="G9" s="2118"/>
      <c r="H9" s="2118"/>
      <c r="I9" s="2115"/>
      <c r="J9" s="2115"/>
      <c r="K9" s="2307"/>
    </row>
    <row r="10" spans="2:12" ht="18" customHeight="1" thickTop="1" thickBot="1">
      <c r="B10" s="2308" t="s">
        <v>2322</v>
      </c>
      <c r="C10" s="2125"/>
      <c r="D10" s="2125"/>
      <c r="E10" s="2125"/>
      <c r="F10" s="2125"/>
      <c r="G10" s="2125"/>
      <c r="H10" s="2125"/>
      <c r="I10" s="2309"/>
      <c r="J10" s="2309"/>
      <c r="K10" s="2127"/>
    </row>
    <row r="11" spans="2:12" ht="18" hidden="1" customHeight="1">
      <c r="B11" s="2310" t="s">
        <v>2260</v>
      </c>
      <c r="C11" s="2214"/>
      <c r="D11" s="2214"/>
      <c r="E11" s="2214"/>
      <c r="F11" s="2311"/>
      <c r="G11" s="2311"/>
      <c r="H11" s="2312"/>
      <c r="I11" s="2312"/>
      <c r="J11" s="2313"/>
      <c r="K11" s="2314"/>
      <c r="L11" s="2315"/>
    </row>
    <row r="12" spans="2:12" ht="18" hidden="1" customHeight="1">
      <c r="B12" s="2316" t="s">
        <v>2323</v>
      </c>
      <c r="C12" s="2202"/>
      <c r="D12" s="2202"/>
      <c r="E12" s="2202"/>
      <c r="F12" s="2317"/>
      <c r="G12" s="2317"/>
      <c r="H12" s="2317"/>
      <c r="I12" s="2141"/>
      <c r="J12" s="2141"/>
      <c r="K12" s="2318"/>
      <c r="L12" s="2315"/>
    </row>
    <row r="13" spans="2:12" ht="18" hidden="1" customHeight="1">
      <c r="B13" s="2319" t="s">
        <v>2262</v>
      </c>
      <c r="C13" s="2202"/>
      <c r="D13" s="2202"/>
      <c r="E13" s="2202"/>
      <c r="F13" s="2317"/>
      <c r="G13" s="2317"/>
      <c r="H13" s="2317"/>
      <c r="I13" s="2141"/>
      <c r="J13" s="2141"/>
      <c r="K13" s="2318"/>
      <c r="L13" s="2315"/>
    </row>
    <row r="14" spans="2:12" ht="18" hidden="1" customHeight="1">
      <c r="B14" s="2319" t="s">
        <v>2324</v>
      </c>
      <c r="C14" s="2202"/>
      <c r="D14" s="2202"/>
      <c r="E14" s="2202"/>
      <c r="F14" s="2317"/>
      <c r="G14" s="2317"/>
      <c r="H14" s="2317"/>
      <c r="I14" s="2141"/>
      <c r="J14" s="2141"/>
      <c r="K14" s="2318"/>
      <c r="L14" s="2315"/>
    </row>
    <row r="15" spans="2:12" ht="18" hidden="1" customHeight="1">
      <c r="B15" s="2319" t="s">
        <v>2264</v>
      </c>
      <c r="C15" s="2202"/>
      <c r="D15" s="2202"/>
      <c r="E15" s="2202"/>
      <c r="F15" s="2317"/>
      <c r="G15" s="2317"/>
      <c r="H15" s="2317"/>
      <c r="I15" s="2141"/>
      <c r="J15" s="2141"/>
      <c r="K15" s="2318"/>
      <c r="L15" s="2315"/>
    </row>
    <row r="16" spans="2:12" ht="18" hidden="1" customHeight="1">
      <c r="B16" s="2319" t="s">
        <v>2265</v>
      </c>
      <c r="C16" s="2202"/>
      <c r="D16" s="2202"/>
      <c r="E16" s="2202"/>
      <c r="F16" s="2317"/>
      <c r="G16" s="2317"/>
      <c r="H16" s="2317"/>
      <c r="I16" s="2141"/>
      <c r="J16" s="2141"/>
      <c r="K16" s="2318"/>
      <c r="L16" s="2315"/>
    </row>
    <row r="17" spans="2:12" ht="18" hidden="1" customHeight="1">
      <c r="B17" s="2319" t="s">
        <v>2266</v>
      </c>
      <c r="C17" s="2202"/>
      <c r="D17" s="2202"/>
      <c r="E17" s="2202"/>
      <c r="F17" s="2317"/>
      <c r="G17" s="2317"/>
      <c r="H17" s="2317"/>
      <c r="I17" s="2141"/>
      <c r="J17" s="2141"/>
      <c r="K17" s="2318"/>
      <c r="L17" s="2315"/>
    </row>
    <row r="18" spans="2:12" ht="18" hidden="1" customHeight="1">
      <c r="B18" s="2316" t="s">
        <v>2267</v>
      </c>
      <c r="C18" s="2202"/>
      <c r="D18" s="2202"/>
      <c r="E18" s="2202"/>
      <c r="F18" s="2317"/>
      <c r="G18" s="2317"/>
      <c r="H18" s="2317"/>
      <c r="I18" s="2141"/>
      <c r="J18" s="2141"/>
      <c r="K18" s="2318"/>
      <c r="L18" s="2315"/>
    </row>
    <row r="19" spans="2:12" ht="18" hidden="1" customHeight="1">
      <c r="B19" s="2319" t="s">
        <v>2268</v>
      </c>
      <c r="C19" s="2202"/>
      <c r="D19" s="2202"/>
      <c r="E19" s="2202"/>
      <c r="F19" s="2317"/>
      <c r="G19" s="2317"/>
      <c r="H19" s="2317"/>
      <c r="I19" s="2141"/>
      <c r="J19" s="2141"/>
      <c r="K19" s="2318"/>
      <c r="L19" s="2315"/>
    </row>
    <row r="20" spans="2:12" ht="18" hidden="1" customHeight="1">
      <c r="B20" s="2320" t="s">
        <v>2269</v>
      </c>
      <c r="C20" s="2202"/>
      <c r="D20" s="2202"/>
      <c r="E20" s="2202"/>
      <c r="F20" s="2317"/>
      <c r="G20" s="2317"/>
      <c r="H20" s="2317"/>
      <c r="I20" s="2141"/>
      <c r="J20" s="2141"/>
      <c r="K20" s="2318"/>
      <c r="L20" s="2315"/>
    </row>
    <row r="21" spans="2:12" ht="18" hidden="1" customHeight="1" thickBot="1">
      <c r="B21" s="2321" t="s">
        <v>2325</v>
      </c>
      <c r="C21" s="2233"/>
      <c r="D21" s="2322"/>
      <c r="E21" s="2322"/>
      <c r="F21" s="2322"/>
      <c r="G21" s="2322"/>
      <c r="H21" s="2322"/>
      <c r="I21" s="2323"/>
      <c r="J21" s="2323"/>
      <c r="K21" s="2324"/>
      <c r="L21" s="2315"/>
    </row>
    <row r="22" spans="2:12" ht="18" hidden="1" customHeight="1">
      <c r="B22" s="2325" t="s">
        <v>2271</v>
      </c>
      <c r="C22" s="2214"/>
      <c r="D22" s="2214"/>
      <c r="E22" s="2214"/>
      <c r="F22" s="2214"/>
      <c r="G22" s="2214"/>
      <c r="H22" s="2214"/>
      <c r="I22" s="2214"/>
      <c r="J22" s="2326"/>
      <c r="K22" s="2314"/>
      <c r="L22" s="2315"/>
    </row>
    <row r="23" spans="2:12" ht="18" hidden="1" customHeight="1">
      <c r="B23" s="2327" t="s">
        <v>2272</v>
      </c>
      <c r="C23" s="2202"/>
      <c r="D23" s="2317"/>
      <c r="E23" s="2317"/>
      <c r="F23" s="2317"/>
      <c r="G23" s="2317"/>
      <c r="H23" s="2317"/>
      <c r="I23" s="2141"/>
      <c r="J23" s="2141"/>
      <c r="K23" s="2318"/>
      <c r="L23" s="2315"/>
    </row>
    <row r="24" spans="2:12" ht="18" hidden="1" customHeight="1">
      <c r="B24" s="2327" t="s">
        <v>2273</v>
      </c>
      <c r="C24" s="2202"/>
      <c r="D24" s="2202"/>
      <c r="E24" s="2202"/>
      <c r="F24" s="2328"/>
      <c r="G24" s="2328"/>
      <c r="H24" s="2328"/>
      <c r="I24" s="2173"/>
      <c r="J24" s="2173"/>
      <c r="K24" s="2318"/>
      <c r="L24" s="2315"/>
    </row>
    <row r="25" spans="2:12" ht="18" hidden="1" customHeight="1">
      <c r="B25" s="2327" t="s">
        <v>2274</v>
      </c>
      <c r="C25" s="2202"/>
      <c r="D25" s="2202"/>
      <c r="E25" s="2202"/>
      <c r="F25" s="2328"/>
      <c r="G25" s="2202"/>
      <c r="H25" s="2202"/>
      <c r="I25" s="2202"/>
      <c r="J25" s="2202"/>
      <c r="K25" s="2318"/>
      <c r="L25" s="2315"/>
    </row>
    <row r="26" spans="2:12" ht="18" hidden="1" customHeight="1">
      <c r="B26" s="2329" t="s">
        <v>2326</v>
      </c>
      <c r="C26" s="2202"/>
      <c r="D26" s="2328"/>
      <c r="E26" s="2328"/>
      <c r="F26" s="2317"/>
      <c r="G26" s="2317"/>
      <c r="H26" s="2317"/>
      <c r="I26" s="2141"/>
      <c r="J26" s="2141"/>
      <c r="K26" s="2318"/>
      <c r="L26" s="2315"/>
    </row>
    <row r="27" spans="2:12" ht="18" hidden="1" customHeight="1">
      <c r="B27" s="2329" t="s">
        <v>2327</v>
      </c>
      <c r="C27" s="2317"/>
      <c r="D27" s="2317"/>
      <c r="E27" s="2328"/>
      <c r="F27" s="2202"/>
      <c r="G27" s="2202"/>
      <c r="H27" s="2202"/>
      <c r="I27" s="2202"/>
      <c r="J27" s="2173"/>
      <c r="K27" s="2318"/>
      <c r="L27" s="2315"/>
    </row>
    <row r="28" spans="2:12" ht="18" hidden="1" customHeight="1">
      <c r="B28" s="2329" t="s">
        <v>2328</v>
      </c>
      <c r="C28" s="2317"/>
      <c r="D28" s="2317"/>
      <c r="E28" s="2317"/>
      <c r="F28" s="2202"/>
      <c r="G28" s="2202"/>
      <c r="H28" s="2202"/>
      <c r="I28" s="2202"/>
      <c r="J28" s="2173"/>
      <c r="K28" s="2318"/>
      <c r="L28" s="2315"/>
    </row>
    <row r="29" spans="2:12" ht="18" hidden="1" customHeight="1">
      <c r="B29" s="2329" t="s">
        <v>2329</v>
      </c>
      <c r="C29" s="2202"/>
      <c r="D29" s="2202"/>
      <c r="E29" s="2202"/>
      <c r="F29" s="2202"/>
      <c r="G29" s="2202"/>
      <c r="H29" s="2202"/>
      <c r="I29" s="2202"/>
      <c r="J29" s="2173"/>
      <c r="K29" s="2318"/>
      <c r="L29" s="2315"/>
    </row>
    <row r="30" spans="2:12" ht="18" hidden="1" customHeight="1" thickBot="1">
      <c r="B30" s="2321" t="s">
        <v>2330</v>
      </c>
      <c r="C30" s="2233"/>
      <c r="D30" s="2233"/>
      <c r="E30" s="2233"/>
      <c r="F30" s="2233"/>
      <c r="G30" s="2233"/>
      <c r="H30" s="2233"/>
      <c r="I30" s="2233"/>
      <c r="J30" s="2189"/>
      <c r="K30" s="2324"/>
      <c r="L30" s="2315"/>
    </row>
    <row r="31" spans="2:12" ht="18" customHeight="1" thickBot="1">
      <c r="B31" s="2330" t="s">
        <v>2280</v>
      </c>
      <c r="C31" s="2427">
        <f>SUM(C32:C41)</f>
        <v>230.26766076496165</v>
      </c>
      <c r="D31" s="2427">
        <f t="shared" ref="D31:E31" si="0">SUM(D32:D41)</f>
        <v>9435.1434220217998</v>
      </c>
      <c r="E31" s="2427">
        <f t="shared" si="0"/>
        <v>2712.4231297030992</v>
      </c>
      <c r="F31" s="2311"/>
      <c r="G31" s="2311"/>
      <c r="H31" s="2311"/>
      <c r="I31" s="2331"/>
      <c r="J31" s="2313"/>
      <c r="K31" s="2428">
        <f>SUM(C31:E31)</f>
        <v>12377.834212489859</v>
      </c>
      <c r="L31" s="2315"/>
    </row>
    <row r="32" spans="2:12" ht="18" customHeight="1" thickBot="1">
      <c r="B32" s="2316" t="s">
        <v>2281</v>
      </c>
      <c r="C32" s="2317"/>
      <c r="D32" s="2410">
        <f>Table3!D11</f>
        <v>7891.6240362016424</v>
      </c>
      <c r="E32" s="2317"/>
      <c r="F32" s="2317"/>
      <c r="G32" s="2317"/>
      <c r="H32" s="2317"/>
      <c r="I32" s="2141"/>
      <c r="J32" s="2141"/>
      <c r="K32" s="2428">
        <f t="shared" ref="K32:K39" si="1">SUM(C32:E32)</f>
        <v>7891.6240362016424</v>
      </c>
      <c r="L32" s="2315"/>
    </row>
    <row r="33" spans="2:12" ht="18" customHeight="1" thickBot="1">
      <c r="B33" s="2316" t="s">
        <v>2282</v>
      </c>
      <c r="C33" s="2317"/>
      <c r="D33" s="2410">
        <f>Table3!D25</f>
        <v>443.09104086412026</v>
      </c>
      <c r="E33" s="2410">
        <f>Table3!E25</f>
        <v>365.05080495357186</v>
      </c>
      <c r="F33" s="2317"/>
      <c r="G33" s="2317"/>
      <c r="H33" s="2317"/>
      <c r="I33" s="2141"/>
      <c r="J33" s="2141"/>
      <c r="K33" s="2428">
        <f t="shared" si="1"/>
        <v>808.14184581769211</v>
      </c>
      <c r="L33" s="2315"/>
    </row>
    <row r="34" spans="2:12" ht="18" customHeight="1" thickBot="1">
      <c r="B34" s="2316" t="s">
        <v>2283</v>
      </c>
      <c r="C34" s="2317"/>
      <c r="D34" s="2410">
        <f>Table3!D40</f>
        <v>1056.5535555512622</v>
      </c>
      <c r="E34" s="2317"/>
      <c r="F34" s="2317"/>
      <c r="G34" s="2317"/>
      <c r="H34" s="2317"/>
      <c r="I34" s="2141"/>
      <c r="J34" s="2141"/>
      <c r="K34" s="2428">
        <f t="shared" si="1"/>
        <v>1056.5535555512622</v>
      </c>
      <c r="L34" s="2315"/>
    </row>
    <row r="35" spans="2:12" ht="18" customHeight="1" thickBot="1">
      <c r="B35" s="2316" t="s">
        <v>2284</v>
      </c>
      <c r="C35" s="2332"/>
      <c r="D35" s="2202" t="s">
        <v>2211</v>
      </c>
      <c r="E35" s="2410">
        <f>Table3!E41</f>
        <v>2336.606751423355</v>
      </c>
      <c r="F35" s="2317"/>
      <c r="G35" s="2317"/>
      <c r="H35" s="2317"/>
      <c r="I35" s="2141"/>
      <c r="J35" s="2141"/>
      <c r="K35" s="2428">
        <f t="shared" si="1"/>
        <v>2336.606751423355</v>
      </c>
      <c r="L35" s="2315"/>
    </row>
    <row r="36" spans="2:12" ht="18" customHeight="1" thickBot="1">
      <c r="B36" s="2316" t="s">
        <v>2285</v>
      </c>
      <c r="C36" s="2317"/>
      <c r="D36" s="2202" t="s">
        <v>41</v>
      </c>
      <c r="E36" s="2202" t="s">
        <v>41</v>
      </c>
      <c r="F36" s="2317"/>
      <c r="G36" s="2317"/>
      <c r="H36" s="2317"/>
      <c r="I36" s="2141"/>
      <c r="J36" s="2141"/>
      <c r="K36" s="2428" t="s">
        <v>41</v>
      </c>
      <c r="L36" s="2315"/>
    </row>
    <row r="37" spans="2:12" ht="18" customHeight="1" thickBot="1">
      <c r="B37" s="2316" t="s">
        <v>2286</v>
      </c>
      <c r="C37" s="2317"/>
      <c r="D37" s="2410">
        <f>Table3!D52</f>
        <v>43.874789404776422</v>
      </c>
      <c r="E37" s="2410">
        <f>Table3!E52</f>
        <v>10.765573326171992</v>
      </c>
      <c r="F37" s="2317"/>
      <c r="G37" s="2317"/>
      <c r="H37" s="2317"/>
      <c r="I37" s="2141"/>
      <c r="J37" s="2141"/>
      <c r="K37" s="2428">
        <f t="shared" si="1"/>
        <v>54.640362730948411</v>
      </c>
      <c r="L37" s="2315"/>
    </row>
    <row r="38" spans="2:12" ht="18" customHeight="1" thickBot="1">
      <c r="B38" s="2316" t="s">
        <v>1512</v>
      </c>
      <c r="C38" s="2328">
        <f>Table3!C53</f>
        <v>21.429287431628282</v>
      </c>
      <c r="D38" s="2333"/>
      <c r="E38" s="2333"/>
      <c r="F38" s="2317"/>
      <c r="G38" s="2317"/>
      <c r="H38" s="2317"/>
      <c r="I38" s="2141"/>
      <c r="J38" s="2141"/>
      <c r="K38" s="2428">
        <f t="shared" si="1"/>
        <v>21.429287431628282</v>
      </c>
      <c r="L38" s="2315"/>
    </row>
    <row r="39" spans="2:12" ht="18" customHeight="1" thickBot="1">
      <c r="B39" s="2316" t="s">
        <v>1513</v>
      </c>
      <c r="C39" s="2328">
        <f>Table3!C54</f>
        <v>208.83837333333335</v>
      </c>
      <c r="D39" s="2333"/>
      <c r="E39" s="2333"/>
      <c r="F39" s="2317"/>
      <c r="G39" s="2317"/>
      <c r="H39" s="2317"/>
      <c r="I39" s="2141"/>
      <c r="J39" s="2141"/>
      <c r="K39" s="2428">
        <f t="shared" si="1"/>
        <v>208.83837333333335</v>
      </c>
      <c r="L39" s="2315"/>
    </row>
    <row r="40" spans="2:12" ht="18" customHeight="1">
      <c r="B40" s="2316" t="s">
        <v>1514</v>
      </c>
      <c r="C40" s="2328" t="s">
        <v>2211</v>
      </c>
      <c r="D40" s="2333"/>
      <c r="E40" s="2333"/>
      <c r="F40" s="2317"/>
      <c r="G40" s="2317"/>
      <c r="H40" s="2317"/>
      <c r="I40" s="2141"/>
      <c r="J40" s="2141"/>
      <c r="K40" s="2428" t="s">
        <v>2211</v>
      </c>
      <c r="L40" s="2315"/>
    </row>
    <row r="41" spans="2:12" ht="18" customHeight="1" thickBot="1">
      <c r="B41" s="2334" t="s">
        <v>2288</v>
      </c>
      <c r="C41" s="2335" t="s">
        <v>2212</v>
      </c>
      <c r="D41" s="2335" t="s">
        <v>2212</v>
      </c>
      <c r="E41" s="2335" t="s">
        <v>2212</v>
      </c>
      <c r="F41" s="2322"/>
      <c r="G41" s="2322"/>
      <c r="H41" s="2322"/>
      <c r="I41" s="2323"/>
      <c r="J41" s="2323"/>
      <c r="K41" s="2429" t="s">
        <v>2212</v>
      </c>
      <c r="L41" s="2315"/>
    </row>
    <row r="42" spans="2:12" ht="18" hidden="1" customHeight="1">
      <c r="B42" s="2310" t="s">
        <v>2331</v>
      </c>
      <c r="C42" s="2336"/>
      <c r="D42" s="2336"/>
      <c r="E42" s="2336"/>
      <c r="F42" s="2311"/>
      <c r="G42" s="2311"/>
      <c r="H42" s="2311"/>
      <c r="I42" s="2331"/>
      <c r="J42" s="2313"/>
      <c r="K42" s="2314"/>
      <c r="L42" s="2315"/>
    </row>
    <row r="43" spans="2:12" ht="18" hidden="1" customHeight="1">
      <c r="B43" s="2316" t="s">
        <v>2332</v>
      </c>
      <c r="C43" s="2328"/>
      <c r="D43" s="2328"/>
      <c r="E43" s="2328"/>
      <c r="F43" s="2337"/>
      <c r="G43" s="2337"/>
      <c r="H43" s="2337"/>
      <c r="I43" s="2338"/>
      <c r="J43" s="2141"/>
      <c r="K43" s="2318"/>
      <c r="L43" s="2315"/>
    </row>
    <row r="44" spans="2:12" ht="18" hidden="1" customHeight="1">
      <c r="B44" s="2316" t="s">
        <v>2333</v>
      </c>
      <c r="C44" s="2328"/>
      <c r="D44" s="2328"/>
      <c r="E44" s="2328"/>
      <c r="F44" s="2337"/>
      <c r="G44" s="2337"/>
      <c r="H44" s="2337"/>
      <c r="I44" s="2338"/>
      <c r="J44" s="2141"/>
      <c r="K44" s="2318"/>
      <c r="L44" s="2315"/>
    </row>
    <row r="45" spans="2:12" ht="18" hidden="1" customHeight="1">
      <c r="B45" s="2316" t="s">
        <v>2334</v>
      </c>
      <c r="C45" s="2328"/>
      <c r="D45" s="2328"/>
      <c r="E45" s="2328"/>
      <c r="F45" s="2337"/>
      <c r="G45" s="2337"/>
      <c r="H45" s="2337"/>
      <c r="I45" s="2338"/>
      <c r="J45" s="2141"/>
      <c r="K45" s="2318"/>
      <c r="L45" s="2315"/>
    </row>
    <row r="46" spans="2:12" ht="18" hidden="1" customHeight="1">
      <c r="B46" s="2316" t="s">
        <v>2335</v>
      </c>
      <c r="C46" s="2328"/>
      <c r="D46" s="2328"/>
      <c r="E46" s="2328"/>
      <c r="F46" s="2337"/>
      <c r="G46" s="2337"/>
      <c r="H46" s="2337"/>
      <c r="I46" s="2338"/>
      <c r="J46" s="2141"/>
      <c r="K46" s="2318"/>
      <c r="L46" s="2315"/>
    </row>
    <row r="47" spans="2:12" ht="18" hidden="1" customHeight="1">
      <c r="B47" s="2316" t="s">
        <v>2336</v>
      </c>
      <c r="C47" s="2328"/>
      <c r="D47" s="2328"/>
      <c r="E47" s="2328"/>
      <c r="F47" s="2337"/>
      <c r="G47" s="2337"/>
      <c r="H47" s="2337"/>
      <c r="I47" s="2338"/>
      <c r="J47" s="2141"/>
      <c r="K47" s="2318"/>
      <c r="L47" s="2315"/>
    </row>
    <row r="48" spans="2:12" ht="18" hidden="1" customHeight="1">
      <c r="B48" s="2316" t="s">
        <v>2337</v>
      </c>
      <c r="C48" s="2328"/>
      <c r="D48" s="2328"/>
      <c r="E48" s="2328"/>
      <c r="F48" s="2337"/>
      <c r="G48" s="2337"/>
      <c r="H48" s="2337"/>
      <c r="I48" s="2338"/>
      <c r="J48" s="2141"/>
      <c r="K48" s="2318"/>
      <c r="L48" s="2315"/>
    </row>
    <row r="49" spans="2:12" ht="18" hidden="1" customHeight="1">
      <c r="B49" s="2316" t="s">
        <v>2338</v>
      </c>
      <c r="C49" s="2328"/>
      <c r="D49" s="2339"/>
      <c r="E49" s="2339"/>
      <c r="F49" s="2337"/>
      <c r="G49" s="2337"/>
      <c r="H49" s="2337"/>
      <c r="I49" s="2338"/>
      <c r="J49" s="2141"/>
      <c r="K49" s="2318"/>
      <c r="L49" s="2315"/>
    </row>
    <row r="50" spans="2:12" ht="18" hidden="1" customHeight="1" thickBot="1">
      <c r="B50" s="2334" t="s">
        <v>2339</v>
      </c>
      <c r="C50" s="2335"/>
      <c r="D50" s="2335"/>
      <c r="E50" s="2335"/>
      <c r="F50" s="2340"/>
      <c r="G50" s="2340"/>
      <c r="H50" s="2340"/>
      <c r="I50" s="2341"/>
      <c r="J50" s="2323"/>
      <c r="K50" s="2324"/>
      <c r="L50" s="2315"/>
    </row>
    <row r="51" spans="2:12" ht="18" hidden="1" customHeight="1">
      <c r="B51" s="2310" t="s">
        <v>2298</v>
      </c>
      <c r="C51" s="2336"/>
      <c r="D51" s="2336"/>
      <c r="E51" s="2336"/>
      <c r="F51" s="2311"/>
      <c r="G51" s="2311"/>
      <c r="H51" s="2311"/>
      <c r="I51" s="2331"/>
      <c r="J51" s="2313"/>
      <c r="K51" s="2314"/>
      <c r="L51" s="2315"/>
    </row>
    <row r="52" spans="2:12" ht="18" hidden="1" customHeight="1">
      <c r="B52" s="2316" t="s">
        <v>2340</v>
      </c>
      <c r="C52" s="2317"/>
      <c r="D52" s="2328"/>
      <c r="E52" s="2337"/>
      <c r="F52" s="2317"/>
      <c r="G52" s="2317"/>
      <c r="H52" s="2317"/>
      <c r="I52" s="2141"/>
      <c r="J52" s="2141"/>
      <c r="K52" s="2318"/>
      <c r="L52" s="2315"/>
    </row>
    <row r="53" spans="2:12" ht="18" hidden="1" customHeight="1">
      <c r="B53" s="2342" t="s">
        <v>2341</v>
      </c>
      <c r="C53" s="2317"/>
      <c r="D53" s="2328"/>
      <c r="E53" s="2328"/>
      <c r="F53" s="2317"/>
      <c r="G53" s="2317"/>
      <c r="H53" s="2317"/>
      <c r="I53" s="2141"/>
      <c r="J53" s="2141"/>
      <c r="K53" s="2318"/>
      <c r="L53" s="2315"/>
    </row>
    <row r="54" spans="2:12" ht="18" hidden="1" customHeight="1">
      <c r="B54" s="2343" t="s">
        <v>2342</v>
      </c>
      <c r="C54" s="2328"/>
      <c r="D54" s="2328"/>
      <c r="E54" s="2328"/>
      <c r="F54" s="2317"/>
      <c r="G54" s="2317"/>
      <c r="H54" s="2317"/>
      <c r="I54" s="2141"/>
      <c r="J54" s="2141"/>
      <c r="K54" s="2318"/>
      <c r="L54" s="2315"/>
    </row>
    <row r="55" spans="2:12" ht="18" hidden="1" customHeight="1">
      <c r="B55" s="2316" t="s">
        <v>2343</v>
      </c>
      <c r="C55" s="2317"/>
      <c r="D55" s="2328"/>
      <c r="E55" s="2328"/>
      <c r="F55" s="2317"/>
      <c r="G55" s="2317"/>
      <c r="H55" s="2317"/>
      <c r="I55" s="2141"/>
      <c r="J55" s="2141"/>
      <c r="K55" s="2318"/>
      <c r="L55" s="2315"/>
    </row>
    <row r="56" spans="2:12" ht="18" hidden="1" customHeight="1" thickBot="1">
      <c r="B56" s="2334" t="s">
        <v>2344</v>
      </c>
      <c r="C56" s="2233"/>
      <c r="D56" s="2233"/>
      <c r="E56" s="2233"/>
      <c r="F56" s="2322"/>
      <c r="G56" s="2322"/>
      <c r="H56" s="2322"/>
      <c r="I56" s="2323"/>
      <c r="J56" s="2323"/>
      <c r="K56" s="2324"/>
      <c r="L56" s="2315"/>
    </row>
    <row r="57" spans="2:12" ht="18" hidden="1" customHeight="1" thickBot="1">
      <c r="B57" s="2308" t="s">
        <v>2345</v>
      </c>
      <c r="C57" s="2344"/>
      <c r="D57" s="2344"/>
      <c r="E57" s="2344"/>
      <c r="F57" s="2345"/>
      <c r="G57" s="2345"/>
      <c r="H57" s="2345"/>
      <c r="I57" s="2346"/>
      <c r="J57" s="2346"/>
      <c r="K57" s="2347"/>
      <c r="L57" s="2315"/>
    </row>
    <row r="58" spans="2:12" ht="18" customHeight="1"/>
    <row r="59" spans="2:12" ht="18" hidden="1" customHeight="1">
      <c r="B59" s="2330" t="s">
        <v>2346</v>
      </c>
      <c r="C59" s="2348"/>
      <c r="D59" s="2349"/>
      <c r="E59" s="2349"/>
      <c r="F59" s="2349"/>
      <c r="G59" s="2349"/>
      <c r="H59" s="2349"/>
      <c r="I59" s="2350"/>
      <c r="J59" s="2351"/>
      <c r="K59" s="2352"/>
    </row>
    <row r="60" spans="2:12" ht="18" hidden="1" customHeight="1">
      <c r="B60" s="2353" t="s">
        <v>2306</v>
      </c>
      <c r="C60" s="2354"/>
      <c r="D60" s="2354"/>
      <c r="E60" s="2354"/>
      <c r="F60" s="2355"/>
      <c r="G60" s="2355"/>
      <c r="H60" s="2356"/>
      <c r="I60" s="2357"/>
      <c r="J60" s="2357"/>
      <c r="K60" s="2358"/>
    </row>
    <row r="61" spans="2:12" ht="18" hidden="1" customHeight="1">
      <c r="B61" s="2359" t="s">
        <v>2307</v>
      </c>
      <c r="C61" s="2360"/>
      <c r="D61" s="2360"/>
      <c r="E61" s="2360"/>
      <c r="F61" s="2317"/>
      <c r="G61" s="2317"/>
      <c r="H61" s="2317"/>
      <c r="I61" s="2361"/>
      <c r="J61" s="2361"/>
      <c r="K61" s="2362"/>
    </row>
    <row r="62" spans="2:12" ht="18" hidden="1" customHeight="1">
      <c r="B62" s="2363" t="s">
        <v>2308</v>
      </c>
      <c r="C62" s="2354"/>
      <c r="D62" s="2354"/>
      <c r="E62" s="2354"/>
      <c r="F62" s="2317"/>
      <c r="G62" s="2317"/>
      <c r="H62" s="2317"/>
      <c r="I62" s="2364"/>
      <c r="J62" s="2364"/>
      <c r="K62" s="2358"/>
    </row>
    <row r="63" spans="2:12" ht="18" hidden="1" customHeight="1">
      <c r="B63" s="2365" t="s">
        <v>2309</v>
      </c>
      <c r="C63" s="2366"/>
      <c r="D63" s="2366"/>
      <c r="E63" s="2366"/>
      <c r="F63" s="2337"/>
      <c r="G63" s="2337"/>
      <c r="H63" s="2367"/>
      <c r="I63" s="2368"/>
      <c r="J63" s="2368"/>
      <c r="K63" s="2369"/>
    </row>
    <row r="64" spans="2:12" ht="18" hidden="1" customHeight="1">
      <c r="B64" s="2353" t="s">
        <v>2310</v>
      </c>
      <c r="C64" s="2366"/>
      <c r="D64" s="2337"/>
      <c r="E64" s="2337"/>
      <c r="F64" s="2337"/>
      <c r="G64" s="2337"/>
      <c r="H64" s="2337"/>
      <c r="I64" s="2338"/>
      <c r="J64" s="2338"/>
      <c r="K64" s="2370"/>
    </row>
    <row r="65" spans="2:11" ht="18" hidden="1" customHeight="1">
      <c r="B65" s="2371" t="s">
        <v>2311</v>
      </c>
      <c r="C65" s="2366"/>
      <c r="D65" s="2337"/>
      <c r="E65" s="2337"/>
      <c r="F65" s="2337"/>
      <c r="G65" s="2337"/>
      <c r="H65" s="2337"/>
      <c r="I65" s="2338"/>
      <c r="J65" s="2338"/>
      <c r="K65" s="2370"/>
    </row>
    <row r="66" spans="2:11" ht="18" hidden="1" customHeight="1">
      <c r="B66" s="2372" t="s">
        <v>2312</v>
      </c>
      <c r="C66" s="2373"/>
      <c r="D66" s="2374"/>
      <c r="E66" s="2374"/>
      <c r="F66" s="2374"/>
      <c r="G66" s="2374"/>
      <c r="H66" s="2374"/>
      <c r="I66" s="2375"/>
      <c r="J66" s="2375"/>
      <c r="K66" s="2376"/>
    </row>
    <row r="67" spans="2:11" ht="18" hidden="1" customHeight="1" thickBot="1">
      <c r="B67" s="2377" t="s">
        <v>2347</v>
      </c>
      <c r="C67" s="2378"/>
      <c r="D67" s="2378"/>
      <c r="E67" s="2379"/>
      <c r="F67" s="2378"/>
      <c r="G67" s="2378"/>
      <c r="H67" s="2378"/>
      <c r="I67" s="2380"/>
      <c r="J67" s="2380"/>
      <c r="K67" s="2381"/>
    </row>
    <row r="68" spans="2:11" ht="18" customHeight="1" thickBot="1">
      <c r="B68" s="2382"/>
      <c r="C68" s="2383"/>
      <c r="D68" s="2383"/>
      <c r="E68" s="2383"/>
      <c r="F68" s="2383"/>
      <c r="G68" s="2383"/>
      <c r="H68" s="2383"/>
      <c r="I68" s="2384"/>
      <c r="J68" s="2384"/>
      <c r="K68" s="2384"/>
    </row>
    <row r="69" spans="2:11" ht="18" customHeight="1" thickBot="1">
      <c r="B69" s="2385" t="s">
        <v>2348</v>
      </c>
      <c r="C69" s="2386"/>
      <c r="D69" s="2387"/>
      <c r="E69" s="2387"/>
      <c r="F69" s="2387"/>
      <c r="G69" s="2387"/>
      <c r="H69" s="2387"/>
      <c r="I69" s="2388"/>
      <c r="J69" s="2388"/>
      <c r="K69" s="2389"/>
    </row>
    <row r="70" spans="2:11" s="2390" customFormat="1" ht="18" customHeight="1" thickBot="1">
      <c r="C70" s="2391"/>
      <c r="D70" s="2391"/>
      <c r="E70" s="2391"/>
      <c r="F70" s="2391"/>
      <c r="G70" s="2391"/>
      <c r="H70" s="2391"/>
      <c r="I70" s="2391"/>
      <c r="J70" s="2391"/>
      <c r="K70" s="2391"/>
    </row>
    <row r="71" spans="2:11" s="2390" customFormat="1" ht="18" customHeight="1">
      <c r="B71" s="2392"/>
      <c r="C71" s="2393"/>
      <c r="D71" s="2393"/>
      <c r="E71" s="2393"/>
      <c r="F71" s="2393"/>
      <c r="G71" s="2393"/>
      <c r="H71" s="2393"/>
      <c r="I71" s="2393"/>
      <c r="J71" s="2394" t="s">
        <v>2349</v>
      </c>
      <c r="K71" s="2395"/>
    </row>
    <row r="72" spans="2:11" s="2390" customFormat="1" ht="18" customHeight="1">
      <c r="B72" s="2396"/>
      <c r="C72" s="2397"/>
      <c r="D72" s="2397"/>
      <c r="E72" s="2397"/>
      <c r="F72" s="2397"/>
      <c r="G72" s="2397"/>
      <c r="H72" s="2397"/>
      <c r="I72" s="2397"/>
      <c r="J72" s="2398" t="s">
        <v>2350</v>
      </c>
      <c r="K72" s="2370"/>
    </row>
    <row r="73" spans="2:11" s="2390" customFormat="1" ht="18" customHeight="1">
      <c r="B73" s="2396"/>
      <c r="C73" s="2397"/>
      <c r="D73" s="2397"/>
      <c r="E73" s="2397"/>
      <c r="F73" s="2397"/>
      <c r="G73" s="2397"/>
      <c r="H73" s="2397"/>
      <c r="I73" s="2397"/>
      <c r="J73" s="2398" t="s">
        <v>2351</v>
      </c>
      <c r="K73" s="2370"/>
    </row>
    <row r="74" spans="2:11" s="2390" customFormat="1" ht="18" customHeight="1" thickBot="1">
      <c r="B74" s="2399"/>
      <c r="C74" s="2400"/>
      <c r="D74" s="2400"/>
      <c r="E74" s="2400"/>
      <c r="F74" s="2400"/>
      <c r="G74" s="2400"/>
      <c r="H74" s="2400"/>
      <c r="I74" s="2400"/>
      <c r="J74" s="2401" t="s">
        <v>2352</v>
      </c>
      <c r="K74" s="2402"/>
    </row>
    <row r="75" spans="2:11">
      <c r="B75" s="2403"/>
      <c r="C75" s="2403"/>
      <c r="D75" s="2403"/>
      <c r="E75" s="2403"/>
      <c r="F75" s="2403"/>
      <c r="G75" s="2403"/>
      <c r="H75" s="2403"/>
      <c r="I75" s="2403"/>
      <c r="J75" s="2403"/>
      <c r="K75" s="2404"/>
    </row>
    <row r="76" spans="2:11" ht="15.5">
      <c r="B76" s="2405"/>
      <c r="C76" s="2405"/>
      <c r="D76" s="2405"/>
      <c r="E76" s="2405"/>
      <c r="F76" s="2405"/>
      <c r="G76" s="2405"/>
      <c r="H76" s="2405"/>
      <c r="I76" s="2405"/>
      <c r="J76" s="2405"/>
      <c r="K76" s="2405"/>
    </row>
    <row r="77" spans="2:11" ht="15.5">
      <c r="B77" s="2405"/>
      <c r="C77" s="2406"/>
      <c r="D77" s="2406"/>
      <c r="E77" s="2406"/>
      <c r="F77" s="2406"/>
      <c r="G77" s="2406"/>
      <c r="H77" s="2406"/>
      <c r="I77" s="2406"/>
      <c r="J77" s="2406"/>
      <c r="K77" s="2406"/>
    </row>
    <row r="78" spans="2:11" ht="15.5">
      <c r="B78" s="2407"/>
      <c r="C78" s="2406"/>
      <c r="D78" s="2406"/>
      <c r="E78" s="2406"/>
      <c r="F78" s="2406"/>
      <c r="G78" s="2406"/>
      <c r="H78" s="2406"/>
      <c r="I78" s="2406"/>
      <c r="J78" s="2406"/>
      <c r="K78" s="2406"/>
    </row>
  </sheetData>
  <dataValidations count="1">
    <dataValidation allowBlank="1" showInputMessage="1" showErrorMessage="1" sqref="J1:J7 C79:K65531 F76:J78 C75:E78 C70:K70 K75:K78 C73:I73 J71:J74 C71:I71 J9:J69 B1:B1048576 L70:IW65531 C2:F69 G1:I69 K1:IW69" xr:uid="{7B9EA993-C51F-45BF-8AB8-1DF0EDEFEFB4}"/>
  </dataValidations>
  <hyperlinks>
    <hyperlink ref="B7" location="Index" display="Back to Index" xr:uid="{AFA20256-B679-4B91-A130-7DEF20AFCA99}"/>
  </hyperlinks>
  <printOptions horizontalCentered="1" verticalCentered="1"/>
  <pageMargins left="0.39370078740157483" right="0.39370078740157483" top="0.39370078740157483" bottom="0.39370078740157483" header="0.19685039370078741" footer="0.19685039370078741"/>
  <pageSetup paperSize="9" scale="56" orientation="portrait" r:id="rId1"/>
  <headerFooter alignWithMargins="0">
    <oddFooter>&amp;L&amp;A</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7FDB-307E-4C99-9645-4416C38EB595}">
  <sheetPr>
    <pageSetUpPr fitToPage="1"/>
  </sheetPr>
  <dimension ref="B1:R71"/>
  <sheetViews>
    <sheetView showGridLines="0" topLeftCell="A6" zoomScale="80" zoomScaleNormal="80" zoomScaleSheetLayoutView="85" workbookViewId="0">
      <selection activeCell="P60" sqref="P60"/>
    </sheetView>
  </sheetViews>
  <sheetFormatPr defaultColWidth="7.33203125" defaultRowHeight="12" customHeight="1"/>
  <cols>
    <col min="1" max="1" width="1.75" style="1465" customWidth="1"/>
    <col min="2" max="2" width="51.6640625" style="1465" bestFit="1" customWidth="1"/>
    <col min="3" max="19" width="10" style="1465" customWidth="1"/>
    <col min="20" max="16384" width="7.33203125" style="1465"/>
  </cols>
  <sheetData>
    <row r="1" spans="2:18" ht="15.75" customHeight="1">
      <c r="B1" s="1608" t="s">
        <v>2353</v>
      </c>
      <c r="C1" s="1608"/>
      <c r="D1" s="1608"/>
      <c r="E1" s="1608"/>
      <c r="F1" s="1608"/>
      <c r="G1" s="1608"/>
      <c r="R1" s="1160" t="s">
        <v>1455</v>
      </c>
    </row>
    <row r="2" spans="2:18" ht="15.75" customHeight="1">
      <c r="B2" s="930"/>
      <c r="R2" s="1160" t="s">
        <v>1457</v>
      </c>
    </row>
    <row r="3" spans="2:18" ht="15.75" hidden="1" customHeight="1">
      <c r="B3" s="930"/>
      <c r="R3" s="1160"/>
    </row>
    <row r="4" spans="2:18" ht="15.75" hidden="1" customHeight="1">
      <c r="B4" s="930"/>
      <c r="R4" s="1160"/>
    </row>
    <row r="5" spans="2:18" ht="15.75" hidden="1" customHeight="1">
      <c r="B5" s="930"/>
      <c r="R5" s="1160"/>
    </row>
    <row r="6" spans="2:18" ht="15.75" customHeight="1">
      <c r="B6" s="930"/>
      <c r="R6" s="1160" t="s">
        <v>1458</v>
      </c>
    </row>
    <row r="7" spans="2:18" ht="15.75" customHeight="1" thickBot="1">
      <c r="B7" s="1338" t="s">
        <v>1459</v>
      </c>
      <c r="R7" s="1160"/>
    </row>
    <row r="8" spans="2:18" ht="23.25" customHeight="1">
      <c r="B8" s="2430" t="s">
        <v>2354</v>
      </c>
      <c r="C8" s="2431" t="s">
        <v>2355</v>
      </c>
      <c r="D8" s="2432"/>
      <c r="E8" s="2431" t="s">
        <v>1597</v>
      </c>
      <c r="F8" s="2432"/>
      <c r="G8" s="2431" t="s">
        <v>2249</v>
      </c>
      <c r="H8" s="2432"/>
      <c r="I8" s="2433" t="s">
        <v>2059</v>
      </c>
      <c r="J8" s="2434"/>
      <c r="K8" s="2433" t="s">
        <v>2060</v>
      </c>
      <c r="L8" s="2434"/>
      <c r="M8" s="2435" t="s">
        <v>2318</v>
      </c>
      <c r="N8" s="2436"/>
      <c r="O8" s="2437" t="s">
        <v>2253</v>
      </c>
      <c r="P8" s="2432"/>
      <c r="Q8" s="2433" t="s">
        <v>2319</v>
      </c>
      <c r="R8" s="2438"/>
    </row>
    <row r="9" spans="2:18" ht="23.5" thickBot="1">
      <c r="B9" s="2439" t="s">
        <v>2356</v>
      </c>
      <c r="C9" s="2440" t="s">
        <v>2357</v>
      </c>
      <c r="D9" s="2440" t="s">
        <v>2358</v>
      </c>
      <c r="E9" s="2440" t="s">
        <v>2357</v>
      </c>
      <c r="F9" s="2440" t="s">
        <v>2358</v>
      </c>
      <c r="G9" s="2440" t="s">
        <v>2357</v>
      </c>
      <c r="H9" s="2440" t="s">
        <v>2358</v>
      </c>
      <c r="I9" s="2440" t="s">
        <v>2357</v>
      </c>
      <c r="J9" s="2440" t="s">
        <v>2358</v>
      </c>
      <c r="K9" s="2440" t="s">
        <v>2357</v>
      </c>
      <c r="L9" s="2440" t="s">
        <v>2358</v>
      </c>
      <c r="M9" s="2440" t="s">
        <v>2357</v>
      </c>
      <c r="N9" s="2440" t="s">
        <v>2358</v>
      </c>
      <c r="O9" s="2441" t="s">
        <v>2357</v>
      </c>
      <c r="P9" s="2440" t="s">
        <v>2358</v>
      </c>
      <c r="Q9" s="2441" t="s">
        <v>2357</v>
      </c>
      <c r="R9" s="2442" t="s">
        <v>2358</v>
      </c>
    </row>
    <row r="10" spans="2:18" ht="18" hidden="1" customHeight="1" thickTop="1">
      <c r="B10" s="2443" t="s">
        <v>2260</v>
      </c>
      <c r="C10" s="2444"/>
      <c r="D10" s="2444"/>
      <c r="E10" s="2444"/>
      <c r="F10" s="2444"/>
      <c r="G10" s="2444"/>
      <c r="H10" s="2444"/>
      <c r="I10" s="2445"/>
      <c r="J10" s="2445"/>
      <c r="K10" s="2445"/>
      <c r="L10" s="2445"/>
      <c r="M10" s="2445"/>
      <c r="N10" s="2446"/>
      <c r="O10" s="2446"/>
      <c r="P10" s="2446"/>
      <c r="Q10" s="2446"/>
      <c r="R10" s="2447"/>
    </row>
    <row r="11" spans="2:18" ht="18" hidden="1" customHeight="1">
      <c r="B11" s="2316" t="s">
        <v>2323</v>
      </c>
      <c r="C11" s="2444"/>
      <c r="D11" s="2444"/>
      <c r="E11" s="2444"/>
      <c r="F11" s="2444"/>
      <c r="G11" s="2444"/>
      <c r="H11" s="2444"/>
      <c r="I11" s="2448"/>
      <c r="J11" s="2448"/>
      <c r="K11" s="2448"/>
      <c r="L11" s="2448"/>
      <c r="M11" s="2448"/>
      <c r="N11" s="2449"/>
      <c r="O11" s="2449"/>
      <c r="P11" s="2449"/>
      <c r="Q11" s="2449"/>
      <c r="R11" s="2450"/>
    </row>
    <row r="12" spans="2:18" ht="18" hidden="1" customHeight="1">
      <c r="B12" s="2319" t="s">
        <v>2262</v>
      </c>
      <c r="C12" s="2444"/>
      <c r="D12" s="2444"/>
      <c r="E12" s="2444"/>
      <c r="F12" s="2444"/>
      <c r="G12" s="2444"/>
      <c r="H12" s="2444"/>
      <c r="I12" s="2448"/>
      <c r="J12" s="2448"/>
      <c r="K12" s="2448"/>
      <c r="L12" s="2448"/>
      <c r="M12" s="2448"/>
      <c r="N12" s="2449"/>
      <c r="O12" s="2449"/>
      <c r="P12" s="2449"/>
      <c r="Q12" s="2449"/>
      <c r="R12" s="2450"/>
    </row>
    <row r="13" spans="2:18" ht="18" hidden="1" customHeight="1">
      <c r="B13" s="2319" t="s">
        <v>2324</v>
      </c>
      <c r="C13" s="2444"/>
      <c r="D13" s="2444"/>
      <c r="E13" s="2444"/>
      <c r="F13" s="2444"/>
      <c r="G13" s="2444"/>
      <c r="H13" s="2444"/>
      <c r="I13" s="2451"/>
      <c r="J13" s="2451"/>
      <c r="K13" s="2451"/>
      <c r="L13" s="2451"/>
      <c r="M13" s="2451"/>
      <c r="N13" s="2452"/>
      <c r="O13" s="2452"/>
      <c r="P13" s="2452"/>
      <c r="Q13" s="2452"/>
      <c r="R13" s="2453"/>
    </row>
    <row r="14" spans="2:18" ht="18" hidden="1" customHeight="1">
      <c r="B14" s="2319" t="s">
        <v>2264</v>
      </c>
      <c r="C14" s="2444"/>
      <c r="D14" s="2444"/>
      <c r="E14" s="2444"/>
      <c r="F14" s="2444"/>
      <c r="G14" s="2444"/>
      <c r="H14" s="2444"/>
      <c r="I14" s="2448"/>
      <c r="J14" s="2448"/>
      <c r="K14" s="2448"/>
      <c r="L14" s="2448"/>
      <c r="M14" s="2448"/>
      <c r="N14" s="2449"/>
      <c r="O14" s="2449"/>
      <c r="P14" s="2449"/>
      <c r="Q14" s="2449"/>
      <c r="R14" s="2450"/>
    </row>
    <row r="15" spans="2:18" ht="18" hidden="1" customHeight="1">
      <c r="B15" s="2319" t="s">
        <v>2265</v>
      </c>
      <c r="C15" s="2444"/>
      <c r="D15" s="2444"/>
      <c r="E15" s="2444"/>
      <c r="F15" s="2444"/>
      <c r="G15" s="2444"/>
      <c r="H15" s="2444"/>
      <c r="I15" s="2448"/>
      <c r="J15" s="2448"/>
      <c r="K15" s="2448"/>
      <c r="L15" s="2448"/>
      <c r="M15" s="2448"/>
      <c r="N15" s="2449"/>
      <c r="O15" s="2449"/>
      <c r="P15" s="2449"/>
      <c r="Q15" s="2449"/>
      <c r="R15" s="2450"/>
    </row>
    <row r="16" spans="2:18" ht="18" hidden="1" customHeight="1">
      <c r="B16" s="2319" t="s">
        <v>2266</v>
      </c>
      <c r="C16" s="2444"/>
      <c r="D16" s="2444"/>
      <c r="E16" s="2444"/>
      <c r="F16" s="2444"/>
      <c r="G16" s="2444"/>
      <c r="H16" s="2444"/>
      <c r="I16" s="2448"/>
      <c r="J16" s="2448"/>
      <c r="K16" s="2448"/>
      <c r="L16" s="2448"/>
      <c r="M16" s="2448"/>
      <c r="N16" s="2449"/>
      <c r="O16" s="2449"/>
      <c r="P16" s="2449"/>
      <c r="Q16" s="2449"/>
      <c r="R16" s="2450"/>
    </row>
    <row r="17" spans="2:18" ht="18" hidden="1" customHeight="1">
      <c r="B17" s="2316" t="s">
        <v>2267</v>
      </c>
      <c r="C17" s="2444"/>
      <c r="D17" s="2444"/>
      <c r="E17" s="2444"/>
      <c r="F17" s="2444"/>
      <c r="G17" s="2444"/>
      <c r="H17" s="2444"/>
      <c r="I17" s="2448"/>
      <c r="J17" s="2448"/>
      <c r="K17" s="2448"/>
      <c r="L17" s="2448"/>
      <c r="M17" s="2448"/>
      <c r="N17" s="2449"/>
      <c r="O17" s="2449"/>
      <c r="P17" s="2449"/>
      <c r="Q17" s="2449"/>
      <c r="R17" s="2450"/>
    </row>
    <row r="18" spans="2:18" ht="18" hidden="1" customHeight="1">
      <c r="B18" s="2319" t="s">
        <v>2268</v>
      </c>
      <c r="C18" s="2444"/>
      <c r="D18" s="2444"/>
      <c r="E18" s="2444"/>
      <c r="F18" s="2444"/>
      <c r="G18" s="2444"/>
      <c r="H18" s="2444"/>
      <c r="I18" s="2448"/>
      <c r="J18" s="2448"/>
      <c r="K18" s="2448"/>
      <c r="L18" s="2448"/>
      <c r="M18" s="2448"/>
      <c r="N18" s="2449"/>
      <c r="O18" s="2449"/>
      <c r="P18" s="2449"/>
      <c r="Q18" s="2449"/>
      <c r="R18" s="2450"/>
    </row>
    <row r="19" spans="2:18" ht="18" hidden="1" customHeight="1">
      <c r="B19" s="2320" t="s">
        <v>2269</v>
      </c>
      <c r="C19" s="2444"/>
      <c r="D19" s="2444"/>
      <c r="E19" s="2444"/>
      <c r="F19" s="2444"/>
      <c r="G19" s="2444"/>
      <c r="H19" s="2444"/>
      <c r="I19" s="2448"/>
      <c r="J19" s="2448"/>
      <c r="K19" s="2448"/>
      <c r="L19" s="2448"/>
      <c r="M19" s="2448"/>
      <c r="N19" s="2449"/>
      <c r="O19" s="2449"/>
      <c r="P19" s="2449"/>
      <c r="Q19" s="2449"/>
      <c r="R19" s="2450"/>
    </row>
    <row r="20" spans="2:18" ht="18" hidden="1" customHeight="1">
      <c r="B20" s="2327" t="s">
        <v>2325</v>
      </c>
      <c r="C20" s="2444"/>
      <c r="D20" s="2444"/>
      <c r="E20" s="2454"/>
      <c r="F20" s="2454"/>
      <c r="G20" s="2454"/>
      <c r="H20" s="2454"/>
      <c r="I20" s="2448"/>
      <c r="J20" s="2448"/>
      <c r="K20" s="2448"/>
      <c r="L20" s="2448"/>
      <c r="M20" s="2448"/>
      <c r="N20" s="2449"/>
      <c r="O20" s="2449"/>
      <c r="P20" s="2449"/>
      <c r="Q20" s="2449"/>
      <c r="R20" s="2450"/>
    </row>
    <row r="21" spans="2:18" ht="18" hidden="1" customHeight="1">
      <c r="B21" s="2455" t="s">
        <v>2359</v>
      </c>
      <c r="C21" s="2444"/>
      <c r="D21" s="2444"/>
      <c r="E21" s="2444"/>
      <c r="F21" s="2444"/>
      <c r="G21" s="2444"/>
      <c r="H21" s="2444"/>
      <c r="I21" s="2444"/>
      <c r="J21" s="2444"/>
      <c r="K21" s="2444"/>
      <c r="L21" s="2444"/>
      <c r="M21" s="2444"/>
      <c r="N21" s="2444"/>
      <c r="O21" s="2444"/>
      <c r="P21" s="2444"/>
      <c r="Q21" s="2444"/>
      <c r="R21" s="2456"/>
    </row>
    <row r="22" spans="2:18" ht="18" hidden="1" customHeight="1">
      <c r="B22" s="2327" t="s">
        <v>2272</v>
      </c>
      <c r="C22" s="2444"/>
      <c r="D22" s="2444"/>
      <c r="E22" s="2454"/>
      <c r="F22" s="2454"/>
      <c r="G22" s="2454"/>
      <c r="H22" s="2454"/>
      <c r="I22" s="2448"/>
      <c r="J22" s="2448"/>
      <c r="K22" s="2448"/>
      <c r="L22" s="2448"/>
      <c r="M22" s="2448"/>
      <c r="N22" s="2449"/>
      <c r="O22" s="2449"/>
      <c r="P22" s="2449"/>
      <c r="Q22" s="2449"/>
      <c r="R22" s="2450"/>
    </row>
    <row r="23" spans="2:18" ht="18" hidden="1" customHeight="1">
      <c r="B23" s="2327" t="s">
        <v>2273</v>
      </c>
      <c r="C23" s="2444"/>
      <c r="D23" s="2444"/>
      <c r="E23" s="2444"/>
      <c r="F23" s="2444"/>
      <c r="G23" s="2444"/>
      <c r="H23" s="2444"/>
      <c r="I23" s="2444"/>
      <c r="J23" s="2444"/>
      <c r="K23" s="2444"/>
      <c r="L23" s="2444"/>
      <c r="M23" s="2444"/>
      <c r="N23" s="2444"/>
      <c r="O23" s="2444"/>
      <c r="P23" s="2444"/>
      <c r="Q23" s="2444"/>
      <c r="R23" s="2456"/>
    </row>
    <row r="24" spans="2:18" ht="18" hidden="1" customHeight="1">
      <c r="B24" s="2327" t="s">
        <v>2274</v>
      </c>
      <c r="C24" s="2444"/>
      <c r="D24" s="2444"/>
      <c r="E24" s="2444"/>
      <c r="F24" s="2444"/>
      <c r="G24" s="2444"/>
      <c r="H24" s="2444"/>
      <c r="I24" s="2444"/>
      <c r="J24" s="2444"/>
      <c r="K24" s="2444"/>
      <c r="L24" s="2444"/>
      <c r="M24" s="2444"/>
      <c r="N24" s="2444"/>
      <c r="O24" s="2444"/>
      <c r="P24" s="2444"/>
      <c r="Q24" s="2444"/>
      <c r="R24" s="2456"/>
    </row>
    <row r="25" spans="2:18" ht="18" hidden="1" customHeight="1">
      <c r="B25" s="2329" t="s">
        <v>2326</v>
      </c>
      <c r="C25" s="2444"/>
      <c r="D25" s="2444"/>
      <c r="E25" s="2444"/>
      <c r="F25" s="2444"/>
      <c r="G25" s="2444"/>
      <c r="H25" s="2444"/>
      <c r="I25" s="2448"/>
      <c r="J25" s="2448"/>
      <c r="K25" s="2448"/>
      <c r="L25" s="2448"/>
      <c r="M25" s="2448"/>
      <c r="N25" s="2449"/>
      <c r="O25" s="2449"/>
      <c r="P25" s="2449"/>
      <c r="Q25" s="2449"/>
      <c r="R25" s="2450"/>
    </row>
    <row r="26" spans="2:18" ht="18" hidden="1" customHeight="1">
      <c r="B26" s="2329" t="s">
        <v>2327</v>
      </c>
      <c r="C26" s="2451"/>
      <c r="D26" s="2451"/>
      <c r="E26" s="2451"/>
      <c r="F26" s="2451"/>
      <c r="G26" s="2444"/>
      <c r="H26" s="2444"/>
      <c r="I26" s="2444"/>
      <c r="J26" s="2444"/>
      <c r="K26" s="2444"/>
      <c r="L26" s="2444"/>
      <c r="M26" s="2444"/>
      <c r="N26" s="2444"/>
      <c r="O26" s="2444"/>
      <c r="P26" s="2444"/>
      <c r="Q26" s="2444"/>
      <c r="R26" s="2456"/>
    </row>
    <row r="27" spans="2:18" ht="18" hidden="1" customHeight="1">
      <c r="B27" s="2329" t="s">
        <v>2328</v>
      </c>
      <c r="C27" s="2451"/>
      <c r="D27" s="2451"/>
      <c r="E27" s="2451"/>
      <c r="F27" s="2451"/>
      <c r="G27" s="2451"/>
      <c r="H27" s="2451"/>
      <c r="I27" s="2457"/>
      <c r="J27" s="2457"/>
      <c r="K27" s="2457"/>
      <c r="L27" s="2457"/>
      <c r="M27" s="2457"/>
      <c r="N27" s="2457"/>
      <c r="O27" s="2457"/>
      <c r="P27" s="2457"/>
      <c r="Q27" s="2457"/>
      <c r="R27" s="2458"/>
    </row>
    <row r="28" spans="2:18" ht="18" hidden="1" customHeight="1">
      <c r="B28" s="2329" t="s">
        <v>2329</v>
      </c>
      <c r="C28" s="2459"/>
      <c r="D28" s="2459"/>
      <c r="E28" s="2459"/>
      <c r="F28" s="2459"/>
      <c r="G28" s="2459"/>
      <c r="H28" s="2459"/>
      <c r="I28" s="2459"/>
      <c r="J28" s="2459"/>
      <c r="K28" s="2459"/>
      <c r="L28" s="2459"/>
      <c r="M28" s="2459"/>
      <c r="N28" s="2459"/>
      <c r="O28" s="2459"/>
      <c r="P28" s="2459"/>
      <c r="Q28" s="2459"/>
      <c r="R28" s="2460"/>
    </row>
    <row r="29" spans="2:18" ht="18" hidden="1" customHeight="1">
      <c r="B29" s="2327" t="s">
        <v>2330</v>
      </c>
      <c r="C29" s="2459"/>
      <c r="D29" s="2459"/>
      <c r="E29" s="2459"/>
      <c r="F29" s="2459"/>
      <c r="G29" s="2459"/>
      <c r="H29" s="2459"/>
      <c r="I29" s="2459"/>
      <c r="J29" s="2459"/>
      <c r="K29" s="2459"/>
      <c r="L29" s="2459"/>
      <c r="M29" s="2459"/>
      <c r="N29" s="2459"/>
      <c r="O29" s="2459"/>
      <c r="P29" s="2459"/>
      <c r="Q29" s="2459"/>
      <c r="R29" s="2460"/>
    </row>
    <row r="30" spans="2:18" ht="18" customHeight="1" thickTop="1">
      <c r="B30" s="2461" t="s">
        <v>2280</v>
      </c>
      <c r="C30" s="2444" t="s">
        <v>2362</v>
      </c>
      <c r="D30" s="2444" t="s">
        <v>2363</v>
      </c>
      <c r="E30" s="2444" t="s">
        <v>2362</v>
      </c>
      <c r="F30" s="2444" t="s">
        <v>2363</v>
      </c>
      <c r="G30" s="2444" t="s">
        <v>2364</v>
      </c>
      <c r="H30" s="2444" t="s">
        <v>839</v>
      </c>
      <c r="I30" s="2445"/>
      <c r="J30" s="2462"/>
      <c r="K30" s="2445"/>
      <c r="L30" s="2462"/>
      <c r="M30" s="2445"/>
      <c r="N30" s="2463"/>
      <c r="O30" s="2464"/>
      <c r="P30" s="2464"/>
      <c r="Q30" s="2464"/>
      <c r="R30" s="2465"/>
    </row>
    <row r="31" spans="2:18" ht="18" customHeight="1">
      <c r="B31" s="2316" t="s">
        <v>2281</v>
      </c>
      <c r="C31" s="2466"/>
      <c r="D31" s="2466"/>
      <c r="E31" s="2444" t="s">
        <v>2362</v>
      </c>
      <c r="F31" s="2444" t="s">
        <v>2363</v>
      </c>
      <c r="G31" s="2448"/>
      <c r="H31" s="2448"/>
      <c r="I31" s="2448"/>
      <c r="J31" s="2466"/>
      <c r="K31" s="2448"/>
      <c r="L31" s="2466"/>
      <c r="M31" s="2448"/>
      <c r="N31" s="2467"/>
      <c r="O31" s="1409"/>
      <c r="P31" s="1409"/>
      <c r="Q31" s="1409"/>
      <c r="R31" s="1410"/>
    </row>
    <row r="32" spans="2:18" ht="18" customHeight="1">
      <c r="B32" s="2316" t="s">
        <v>2282</v>
      </c>
      <c r="C32" s="2466"/>
      <c r="D32" s="2466"/>
      <c r="E32" s="2444" t="s">
        <v>2364</v>
      </c>
      <c r="F32" s="2444" t="s">
        <v>839</v>
      </c>
      <c r="G32" s="2444" t="s">
        <v>2364</v>
      </c>
      <c r="H32" s="2444" t="s">
        <v>839</v>
      </c>
      <c r="I32" s="2448"/>
      <c r="J32" s="2466"/>
      <c r="K32" s="2448"/>
      <c r="L32" s="2466"/>
      <c r="M32" s="2448"/>
      <c r="N32" s="2467"/>
      <c r="O32" s="1409"/>
      <c r="P32" s="1409"/>
      <c r="Q32" s="1409"/>
      <c r="R32" s="1410"/>
    </row>
    <row r="33" spans="2:18" ht="18" customHeight="1">
      <c r="B33" s="2316" t="s">
        <v>2283</v>
      </c>
      <c r="C33" s="2466"/>
      <c r="D33" s="2466"/>
      <c r="E33" s="2444" t="s">
        <v>2364</v>
      </c>
      <c r="F33" s="2444" t="s">
        <v>839</v>
      </c>
      <c r="G33" s="2448"/>
      <c r="H33" s="2448"/>
      <c r="I33" s="2448"/>
      <c r="J33" s="2466"/>
      <c r="K33" s="2448"/>
      <c r="L33" s="2466"/>
      <c r="M33" s="2448"/>
      <c r="N33" s="2467"/>
      <c r="O33" s="1409"/>
      <c r="P33" s="1409"/>
      <c r="Q33" s="1409"/>
      <c r="R33" s="1410"/>
    </row>
    <row r="34" spans="2:18" ht="18" customHeight="1">
      <c r="B34" s="2316" t="s">
        <v>2284</v>
      </c>
      <c r="C34" s="2468"/>
      <c r="D34" s="2468"/>
      <c r="E34" s="2444" t="s">
        <v>2211</v>
      </c>
      <c r="F34" s="2444" t="s">
        <v>41</v>
      </c>
      <c r="G34" s="2444" t="s">
        <v>2364</v>
      </c>
      <c r="H34" s="2444" t="s">
        <v>839</v>
      </c>
      <c r="I34" s="2448"/>
      <c r="J34" s="2466"/>
      <c r="K34" s="2448"/>
      <c r="L34" s="2466"/>
      <c r="M34" s="2448"/>
      <c r="N34" s="2467"/>
      <c r="O34" s="1409"/>
      <c r="P34" s="1409"/>
      <c r="Q34" s="1409"/>
      <c r="R34" s="1410"/>
    </row>
    <row r="35" spans="2:18" ht="18" customHeight="1">
      <c r="B35" s="2316" t="s">
        <v>2285</v>
      </c>
      <c r="C35" s="2466"/>
      <c r="D35" s="2466"/>
      <c r="E35" s="2444" t="s">
        <v>2213</v>
      </c>
      <c r="F35" s="2444" t="s">
        <v>41</v>
      </c>
      <c r="G35" s="2444" t="s">
        <v>2213</v>
      </c>
      <c r="H35" s="2444" t="s">
        <v>41</v>
      </c>
      <c r="I35" s="2448"/>
      <c r="J35" s="2466"/>
      <c r="K35" s="2448"/>
      <c r="L35" s="2466"/>
      <c r="M35" s="2448"/>
      <c r="N35" s="2467"/>
      <c r="O35" s="1409"/>
      <c r="P35" s="1409"/>
      <c r="Q35" s="1409"/>
      <c r="R35" s="1410"/>
    </row>
    <row r="36" spans="2:18" ht="18" customHeight="1">
      <c r="B36" s="2316" t="s">
        <v>2286</v>
      </c>
      <c r="C36" s="2466"/>
      <c r="D36" s="2466"/>
      <c r="E36" s="2444" t="s">
        <v>2365</v>
      </c>
      <c r="F36" s="2444" t="s">
        <v>2366</v>
      </c>
      <c r="G36" s="2444" t="s">
        <v>2364</v>
      </c>
      <c r="H36" s="2444" t="s">
        <v>839</v>
      </c>
      <c r="I36" s="2448"/>
      <c r="J36" s="2466"/>
      <c r="K36" s="2448"/>
      <c r="L36" s="2466"/>
      <c r="M36" s="2448"/>
      <c r="N36" s="2467"/>
      <c r="O36" s="1409"/>
      <c r="P36" s="1409"/>
      <c r="Q36" s="1409"/>
      <c r="R36" s="1410"/>
    </row>
    <row r="37" spans="2:18" ht="18" customHeight="1">
      <c r="B37" s="2316" t="s">
        <v>1512</v>
      </c>
      <c r="C37" s="2444" t="s">
        <v>2364</v>
      </c>
      <c r="D37" s="2444" t="s">
        <v>839</v>
      </c>
      <c r="E37" s="2469"/>
      <c r="F37" s="2469"/>
      <c r="G37" s="2454"/>
      <c r="H37" s="2454"/>
      <c r="I37" s="2448"/>
      <c r="J37" s="2466"/>
      <c r="K37" s="2448"/>
      <c r="L37" s="2466"/>
      <c r="M37" s="2448"/>
      <c r="N37" s="2467"/>
      <c r="O37" s="1409"/>
      <c r="P37" s="1409"/>
      <c r="Q37" s="1409"/>
      <c r="R37" s="1410"/>
    </row>
    <row r="38" spans="2:18" ht="18" customHeight="1">
      <c r="B38" s="2316" t="s">
        <v>1513</v>
      </c>
      <c r="C38" s="2444" t="s">
        <v>2364</v>
      </c>
      <c r="D38" s="2444" t="s">
        <v>839</v>
      </c>
      <c r="E38" s="2469"/>
      <c r="F38" s="2469"/>
      <c r="G38" s="2454"/>
      <c r="H38" s="2454"/>
      <c r="I38" s="2448"/>
      <c r="J38" s="2466"/>
      <c r="K38" s="2448"/>
      <c r="L38" s="2466"/>
      <c r="M38" s="2448"/>
      <c r="N38" s="2467"/>
      <c r="O38" s="1409"/>
      <c r="P38" s="1409"/>
      <c r="Q38" s="1409"/>
      <c r="R38" s="1410"/>
    </row>
    <row r="39" spans="2:18" ht="18" customHeight="1">
      <c r="B39" s="2316" t="s">
        <v>1514</v>
      </c>
      <c r="C39" s="2444" t="s">
        <v>2211</v>
      </c>
      <c r="D39" s="2444" t="s">
        <v>41</v>
      </c>
      <c r="E39" s="2469"/>
      <c r="F39" s="2469"/>
      <c r="G39" s="2454"/>
      <c r="H39" s="2454"/>
      <c r="I39" s="2448"/>
      <c r="J39" s="2466"/>
      <c r="K39" s="2448"/>
      <c r="L39" s="2466"/>
      <c r="M39" s="2448"/>
      <c r="N39" s="2467"/>
      <c r="O39" s="1409"/>
      <c r="P39" s="1409"/>
      <c r="Q39" s="1409"/>
      <c r="R39" s="1410"/>
    </row>
    <row r="40" spans="2:18" ht="18" customHeight="1">
      <c r="B40" s="2316" t="s">
        <v>2288</v>
      </c>
      <c r="C40" s="2444" t="s">
        <v>41</v>
      </c>
      <c r="D40" s="2444" t="s">
        <v>41</v>
      </c>
      <c r="E40" s="2444" t="s">
        <v>41</v>
      </c>
      <c r="F40" s="2444" t="s">
        <v>41</v>
      </c>
      <c r="G40" s="2444" t="s">
        <v>41</v>
      </c>
      <c r="H40" s="2444" t="s">
        <v>41</v>
      </c>
      <c r="I40" s="2448"/>
      <c r="J40" s="2466"/>
      <c r="K40" s="2448"/>
      <c r="L40" s="2466"/>
      <c r="M40" s="2448"/>
      <c r="N40" s="2467"/>
      <c r="O40" s="1409"/>
      <c r="P40" s="1409"/>
      <c r="Q40" s="1409"/>
      <c r="R40" s="1410"/>
    </row>
    <row r="41" spans="2:18" ht="18" hidden="1" customHeight="1">
      <c r="B41" s="2455" t="s">
        <v>2360</v>
      </c>
      <c r="C41" s="2444"/>
      <c r="D41" s="2444"/>
      <c r="E41" s="2444"/>
      <c r="F41" s="2444"/>
      <c r="G41" s="2444"/>
      <c r="H41" s="2444"/>
      <c r="I41" s="2470"/>
      <c r="J41" s="2471"/>
      <c r="K41" s="2470"/>
      <c r="L41" s="2471"/>
      <c r="M41" s="2470"/>
      <c r="N41" s="2472"/>
      <c r="O41" s="1409"/>
      <c r="P41" s="1409"/>
      <c r="Q41" s="1409"/>
      <c r="R41" s="1410"/>
    </row>
    <row r="42" spans="2:18" ht="18" hidden="1" customHeight="1">
      <c r="B42" s="2316" t="s">
        <v>2332</v>
      </c>
      <c r="C42" s="2444"/>
      <c r="D42" s="2444"/>
      <c r="E42" s="2444"/>
      <c r="F42" s="2444"/>
      <c r="G42" s="2444"/>
      <c r="H42" s="2444"/>
      <c r="I42" s="2448"/>
      <c r="J42" s="2466"/>
      <c r="K42" s="2448"/>
      <c r="L42" s="2466"/>
      <c r="M42" s="2448"/>
      <c r="N42" s="2467"/>
      <c r="O42" s="1409"/>
      <c r="P42" s="1409"/>
      <c r="Q42" s="1409"/>
      <c r="R42" s="1410"/>
    </row>
    <row r="43" spans="2:18" ht="18" hidden="1" customHeight="1">
      <c r="B43" s="2316" t="s">
        <v>2333</v>
      </c>
      <c r="C43" s="2444"/>
      <c r="D43" s="2444"/>
      <c r="E43" s="2444"/>
      <c r="F43" s="2444"/>
      <c r="G43" s="2444"/>
      <c r="H43" s="2444"/>
      <c r="I43" s="2473"/>
      <c r="J43" s="2474"/>
      <c r="K43" s="2473"/>
      <c r="L43" s="2474"/>
      <c r="M43" s="2473"/>
      <c r="N43" s="2475"/>
      <c r="O43" s="1409"/>
      <c r="P43" s="1409"/>
      <c r="Q43" s="1409"/>
      <c r="R43" s="1410"/>
    </row>
    <row r="44" spans="2:18" ht="18" hidden="1" customHeight="1">
      <c r="B44" s="2316" t="s">
        <v>2334</v>
      </c>
      <c r="C44" s="2444"/>
      <c r="D44" s="2444"/>
      <c r="E44" s="2444"/>
      <c r="F44" s="2444"/>
      <c r="G44" s="2444"/>
      <c r="H44" s="2444"/>
      <c r="I44" s="2473"/>
      <c r="J44" s="2474"/>
      <c r="K44" s="2473"/>
      <c r="L44" s="2474"/>
      <c r="M44" s="2473"/>
      <c r="N44" s="2475"/>
      <c r="O44" s="1409"/>
      <c r="P44" s="1409"/>
      <c r="Q44" s="1409"/>
      <c r="R44" s="1410"/>
    </row>
    <row r="45" spans="2:18" ht="18" hidden="1" customHeight="1">
      <c r="B45" s="2316" t="s">
        <v>2335</v>
      </c>
      <c r="C45" s="2444"/>
      <c r="D45" s="2444"/>
      <c r="E45" s="2444"/>
      <c r="F45" s="2444"/>
      <c r="G45" s="2444"/>
      <c r="H45" s="2444"/>
      <c r="I45" s="2448"/>
      <c r="J45" s="2466"/>
      <c r="K45" s="2448"/>
      <c r="L45" s="2466"/>
      <c r="M45" s="2448"/>
      <c r="N45" s="2467"/>
      <c r="O45" s="1409"/>
      <c r="P45" s="1409"/>
      <c r="Q45" s="1409"/>
      <c r="R45" s="1410"/>
    </row>
    <row r="46" spans="2:18" ht="18" hidden="1" customHeight="1">
      <c r="B46" s="2316" t="s">
        <v>2336</v>
      </c>
      <c r="C46" s="2444"/>
      <c r="D46" s="2444"/>
      <c r="E46" s="2444"/>
      <c r="F46" s="2444"/>
      <c r="G46" s="2444"/>
      <c r="H46" s="2444"/>
      <c r="I46" s="2448"/>
      <c r="J46" s="2466"/>
      <c r="K46" s="2448"/>
      <c r="L46" s="2466"/>
      <c r="M46" s="2448"/>
      <c r="N46" s="2467"/>
      <c r="O46" s="1409"/>
      <c r="P46" s="1409"/>
      <c r="Q46" s="1409"/>
      <c r="R46" s="1410"/>
    </row>
    <row r="47" spans="2:18" ht="18" hidden="1" customHeight="1">
      <c r="B47" s="2316" t="s">
        <v>2337</v>
      </c>
      <c r="C47" s="2444"/>
      <c r="D47" s="2444"/>
      <c r="E47" s="2444"/>
      <c r="F47" s="2444"/>
      <c r="G47" s="2444"/>
      <c r="H47" s="2444"/>
      <c r="I47" s="2451"/>
      <c r="J47" s="2476"/>
      <c r="K47" s="2451"/>
      <c r="L47" s="2476"/>
      <c r="M47" s="2451"/>
      <c r="N47" s="2477"/>
      <c r="O47" s="1409"/>
      <c r="P47" s="1409"/>
      <c r="Q47" s="1409"/>
      <c r="R47" s="1410"/>
    </row>
    <row r="48" spans="2:18" ht="18" hidden="1" customHeight="1">
      <c r="B48" s="2316" t="s">
        <v>2338</v>
      </c>
      <c r="C48" s="2444"/>
      <c r="D48" s="2444"/>
      <c r="E48" s="2448"/>
      <c r="F48" s="2448"/>
      <c r="G48" s="2448"/>
      <c r="H48" s="2448"/>
      <c r="I48" s="2451"/>
      <c r="J48" s="2476"/>
      <c r="K48" s="2451"/>
      <c r="L48" s="2476"/>
      <c r="M48" s="2451"/>
      <c r="N48" s="2477"/>
      <c r="O48" s="1409"/>
      <c r="P48" s="1409"/>
      <c r="Q48" s="1409"/>
      <c r="R48" s="1410"/>
    </row>
    <row r="49" spans="2:18" ht="18" hidden="1" customHeight="1">
      <c r="B49" s="2316" t="s">
        <v>2339</v>
      </c>
      <c r="C49" s="2444"/>
      <c r="D49" s="2444"/>
      <c r="E49" s="2444"/>
      <c r="F49" s="2444"/>
      <c r="G49" s="2444"/>
      <c r="H49" s="2444"/>
      <c r="I49" s="2448"/>
      <c r="J49" s="2466"/>
      <c r="K49" s="2448"/>
      <c r="L49" s="2466"/>
      <c r="M49" s="2448"/>
      <c r="N49" s="2467"/>
      <c r="O49" s="1409"/>
      <c r="P49" s="1409"/>
      <c r="Q49" s="1409"/>
      <c r="R49" s="1410"/>
    </row>
    <row r="50" spans="2:18" ht="18" hidden="1" customHeight="1">
      <c r="B50" s="2455" t="s">
        <v>2298</v>
      </c>
      <c r="C50" s="2444"/>
      <c r="D50" s="2444"/>
      <c r="E50" s="2444"/>
      <c r="F50" s="2444"/>
      <c r="G50" s="2444"/>
      <c r="H50" s="2444"/>
      <c r="I50" s="2470"/>
      <c r="J50" s="2471"/>
      <c r="K50" s="2470"/>
      <c r="L50" s="2471"/>
      <c r="M50" s="2470"/>
      <c r="N50" s="2472"/>
      <c r="O50" s="1409"/>
      <c r="P50" s="1409"/>
      <c r="Q50" s="1409"/>
      <c r="R50" s="1410"/>
    </row>
    <row r="51" spans="2:18" ht="18" hidden="1" customHeight="1">
      <c r="B51" s="2316" t="s">
        <v>2340</v>
      </c>
      <c r="C51" s="2466"/>
      <c r="D51" s="2466"/>
      <c r="E51" s="2444"/>
      <c r="F51" s="2444"/>
      <c r="G51" s="2448"/>
      <c r="H51" s="2448"/>
      <c r="I51" s="2448"/>
      <c r="J51" s="2466"/>
      <c r="K51" s="2448"/>
      <c r="L51" s="2466"/>
      <c r="M51" s="2448"/>
      <c r="N51" s="2467"/>
      <c r="O51" s="1409"/>
      <c r="P51" s="1409"/>
      <c r="Q51" s="1409"/>
      <c r="R51" s="1410"/>
    </row>
    <row r="52" spans="2:18" ht="18" hidden="1" customHeight="1">
      <c r="B52" s="2342" t="s">
        <v>2341</v>
      </c>
      <c r="C52" s="2466"/>
      <c r="D52" s="2466"/>
      <c r="E52" s="2444"/>
      <c r="F52" s="2444"/>
      <c r="G52" s="2444"/>
      <c r="H52" s="2444"/>
      <c r="I52" s="2448"/>
      <c r="J52" s="2466"/>
      <c r="K52" s="2448"/>
      <c r="L52" s="2466"/>
      <c r="M52" s="2448"/>
      <c r="N52" s="2467"/>
      <c r="O52" s="1409"/>
      <c r="P52" s="1409"/>
      <c r="Q52" s="1409"/>
      <c r="R52" s="1410"/>
    </row>
    <row r="53" spans="2:18" ht="18" hidden="1" customHeight="1">
      <c r="B53" s="2343" t="s">
        <v>2342</v>
      </c>
      <c r="C53" s="2444"/>
      <c r="D53" s="2444"/>
      <c r="E53" s="2444"/>
      <c r="F53" s="2444"/>
      <c r="G53" s="2444"/>
      <c r="H53" s="2444"/>
      <c r="I53" s="2448"/>
      <c r="J53" s="2466"/>
      <c r="K53" s="2448"/>
      <c r="L53" s="2466"/>
      <c r="M53" s="2448"/>
      <c r="N53" s="2467"/>
      <c r="O53" s="1409"/>
      <c r="P53" s="1409"/>
      <c r="Q53" s="1409"/>
      <c r="R53" s="1410"/>
    </row>
    <row r="54" spans="2:18" ht="18" hidden="1" customHeight="1">
      <c r="B54" s="2316" t="s">
        <v>2343</v>
      </c>
      <c r="C54" s="2468"/>
      <c r="D54" s="2468"/>
      <c r="E54" s="2444"/>
      <c r="F54" s="2444"/>
      <c r="G54" s="2444"/>
      <c r="H54" s="2444"/>
      <c r="I54" s="2448"/>
      <c r="J54" s="2466"/>
      <c r="K54" s="2448"/>
      <c r="L54" s="2466"/>
      <c r="M54" s="2448"/>
      <c r="N54" s="2467"/>
      <c r="O54" s="1409"/>
      <c r="P54" s="1409"/>
      <c r="Q54" s="1409"/>
      <c r="R54" s="1410"/>
    </row>
    <row r="55" spans="2:18" ht="18" hidden="1" customHeight="1">
      <c r="B55" s="2316" t="s">
        <v>2344</v>
      </c>
      <c r="C55" s="2444"/>
      <c r="D55" s="2444"/>
      <c r="E55" s="2444"/>
      <c r="F55" s="2444"/>
      <c r="G55" s="2444"/>
      <c r="H55" s="2444"/>
      <c r="I55" s="2448"/>
      <c r="J55" s="2466"/>
      <c r="K55" s="2448"/>
      <c r="L55" s="2466"/>
      <c r="M55" s="2448"/>
      <c r="N55" s="2467"/>
      <c r="O55" s="1409"/>
      <c r="P55" s="1409"/>
      <c r="Q55" s="1409"/>
      <c r="R55" s="1410"/>
    </row>
    <row r="56" spans="2:18" ht="18" hidden="1" customHeight="1" thickBot="1">
      <c r="B56" s="2478" t="s">
        <v>2361</v>
      </c>
      <c r="C56" s="2479"/>
      <c r="D56" s="2479"/>
      <c r="E56" s="2479"/>
      <c r="F56" s="2479"/>
      <c r="G56" s="2479"/>
      <c r="H56" s="2479"/>
      <c r="I56" s="2479"/>
      <c r="J56" s="2479"/>
      <c r="K56" s="2479"/>
      <c r="L56" s="2479"/>
      <c r="M56" s="2479"/>
      <c r="N56" s="2479"/>
      <c r="O56" s="2479"/>
      <c r="P56" s="2479"/>
      <c r="Q56" s="2479"/>
      <c r="R56" s="2480"/>
    </row>
    <row r="58" spans="2:18" ht="15" customHeight="1">
      <c r="B58" s="2481"/>
      <c r="C58" s="2481"/>
      <c r="D58" s="2482"/>
      <c r="E58" s="2482"/>
      <c r="F58" s="2482"/>
      <c r="G58" s="2482"/>
      <c r="H58" s="2482"/>
      <c r="I58" s="2482"/>
      <c r="J58" s="2482"/>
      <c r="K58" s="2482"/>
      <c r="L58" s="2482"/>
      <c r="M58" s="2482"/>
      <c r="N58" s="2482"/>
      <c r="O58" s="2482"/>
      <c r="P58" s="2482"/>
      <c r="Q58" s="2482"/>
      <c r="R58" s="2482"/>
    </row>
    <row r="59" spans="2:18" ht="14">
      <c r="B59" s="2483"/>
      <c r="C59" s="2484"/>
      <c r="D59" s="2484"/>
      <c r="E59" s="2482"/>
      <c r="F59" s="2482"/>
      <c r="G59" s="2485"/>
      <c r="H59" s="2485"/>
      <c r="I59" s="2485"/>
      <c r="J59" s="2482"/>
      <c r="K59" s="2486"/>
      <c r="L59" s="2482"/>
      <c r="M59" s="2482"/>
      <c r="N59" s="2482"/>
      <c r="O59" s="2482"/>
      <c r="P59" s="2482"/>
      <c r="Q59" s="2482"/>
      <c r="R59" s="2482"/>
    </row>
    <row r="60" spans="2:18" ht="14">
      <c r="B60" s="2483"/>
      <c r="C60" s="2485"/>
      <c r="D60" s="2485"/>
      <c r="E60" s="2482"/>
      <c r="F60" s="2482"/>
      <c r="G60" s="2485"/>
      <c r="H60" s="2484"/>
      <c r="I60" s="2484"/>
      <c r="J60" s="2482"/>
      <c r="K60" s="2482"/>
      <c r="L60" s="2482"/>
      <c r="M60" s="2482"/>
      <c r="N60" s="2482"/>
      <c r="O60" s="2482"/>
      <c r="P60" s="2482"/>
      <c r="Q60" s="2482"/>
      <c r="R60" s="2482"/>
    </row>
    <row r="61" spans="2:18" ht="14">
      <c r="B61" s="2483"/>
      <c r="C61" s="2484"/>
      <c r="D61" s="2484"/>
      <c r="E61" s="2482"/>
      <c r="F61" s="2482"/>
      <c r="G61" s="2485"/>
      <c r="H61" s="2482"/>
      <c r="I61" s="2484"/>
      <c r="J61" s="2482"/>
      <c r="K61" s="2482"/>
      <c r="L61" s="2482"/>
      <c r="M61" s="2482"/>
      <c r="N61" s="2482"/>
      <c r="O61" s="2482"/>
      <c r="P61" s="2482"/>
      <c r="Q61" s="2482"/>
      <c r="R61" s="2482"/>
    </row>
    <row r="62" spans="2:18" ht="38.25" customHeight="1">
      <c r="B62" s="2482"/>
      <c r="C62" s="2482"/>
      <c r="D62" s="2482"/>
      <c r="E62" s="2482"/>
      <c r="F62" s="2482"/>
      <c r="G62" s="2482"/>
      <c r="H62" s="2482"/>
      <c r="I62" s="2482"/>
      <c r="J62" s="2482"/>
      <c r="K62" s="2482"/>
      <c r="L62" s="2482"/>
      <c r="M62" s="2482"/>
      <c r="N62" s="2482"/>
      <c r="O62" s="2482"/>
      <c r="P62" s="2482"/>
      <c r="Q62" s="2482"/>
      <c r="R62" s="2482"/>
    </row>
    <row r="63" spans="2:18" ht="12.5"/>
    <row r="64" spans="2:18" ht="12.5"/>
    <row r="65" spans="2:18" ht="15" customHeight="1">
      <c r="B65" s="2487"/>
      <c r="C65" s="2487"/>
      <c r="D65" s="2487"/>
      <c r="E65" s="2482"/>
      <c r="F65" s="2482"/>
      <c r="G65" s="2482"/>
      <c r="H65" s="2482"/>
      <c r="I65" s="2482"/>
      <c r="J65" s="2482"/>
      <c r="K65" s="2482"/>
      <c r="L65" s="2482"/>
      <c r="M65" s="2482"/>
      <c r="N65" s="2482"/>
      <c r="O65" s="2482"/>
      <c r="P65" s="2482"/>
      <c r="Q65" s="2482"/>
      <c r="R65" s="2482"/>
    </row>
    <row r="66" spans="2:18" ht="15" customHeight="1">
      <c r="B66" s="2487"/>
      <c r="C66" s="2487"/>
      <c r="D66" s="2487"/>
      <c r="E66" s="2482"/>
      <c r="F66" s="2482"/>
      <c r="G66" s="2482"/>
      <c r="H66" s="2482"/>
      <c r="I66" s="2482"/>
      <c r="J66" s="2482"/>
      <c r="K66" s="2482"/>
      <c r="L66" s="2482"/>
      <c r="M66" s="2482"/>
      <c r="N66" s="2482"/>
      <c r="O66" s="2482"/>
      <c r="P66" s="2482"/>
      <c r="Q66" s="2482"/>
      <c r="R66" s="2482"/>
    </row>
    <row r="67" spans="2:18" ht="15" customHeight="1">
      <c r="B67" s="2488"/>
      <c r="C67" s="2484"/>
      <c r="D67" s="2484"/>
      <c r="E67" s="2489"/>
      <c r="F67" s="2482"/>
      <c r="G67" s="2484"/>
      <c r="H67" s="2482"/>
      <c r="I67" s="2482"/>
      <c r="J67" s="2482"/>
      <c r="K67" s="2482"/>
      <c r="L67" s="2482"/>
      <c r="M67" s="2482"/>
      <c r="N67" s="2482"/>
      <c r="O67" s="2482"/>
      <c r="P67" s="2482"/>
      <c r="Q67" s="2482"/>
      <c r="R67" s="2482"/>
    </row>
    <row r="68" spans="2:18" ht="15" customHeight="1">
      <c r="B68" s="2488"/>
      <c r="C68" s="2484"/>
      <c r="D68" s="2484"/>
      <c r="E68" s="2482"/>
      <c r="F68" s="2482"/>
      <c r="G68" s="2486"/>
      <c r="H68" s="2482"/>
      <c r="I68" s="2482"/>
      <c r="J68" s="2482"/>
      <c r="K68" s="2482"/>
      <c r="L68" s="2482"/>
      <c r="M68" s="2482"/>
      <c r="N68" s="2482"/>
      <c r="O68" s="2482"/>
      <c r="P68" s="2482"/>
      <c r="Q68" s="2482"/>
      <c r="R68" s="2482"/>
    </row>
    <row r="69" spans="2:18" ht="12.5"/>
    <row r="70" spans="2:18" ht="14.5" thickBot="1">
      <c r="B70" s="2490"/>
      <c r="C70" s="2490"/>
      <c r="D70" s="2490"/>
      <c r="E70" s="2490"/>
      <c r="F70" s="2490"/>
      <c r="G70" s="2490"/>
      <c r="H70" s="2490"/>
      <c r="I70" s="2490"/>
      <c r="J70" s="2490"/>
      <c r="K70" s="2490"/>
      <c r="L70" s="2490"/>
      <c r="M70" s="2490"/>
      <c r="N70" s="2490"/>
      <c r="O70" s="2490"/>
      <c r="P70" s="2490"/>
      <c r="Q70" s="2490"/>
      <c r="R70" s="2490"/>
    </row>
    <row r="71" spans="2:18" ht="12" customHeight="1">
      <c r="B71" s="2491" t="s">
        <v>1516</v>
      </c>
      <c r="C71" s="2492"/>
      <c r="D71" s="2492"/>
      <c r="E71" s="2492"/>
      <c r="F71" s="2492"/>
      <c r="G71" s="2492"/>
      <c r="H71" s="2492"/>
      <c r="I71" s="2492"/>
      <c r="J71" s="2492"/>
      <c r="K71" s="2492"/>
      <c r="L71" s="2492"/>
      <c r="M71" s="2493"/>
      <c r="N71" s="2490"/>
      <c r="O71" s="2490"/>
      <c r="P71" s="2490"/>
      <c r="Q71" s="2490"/>
      <c r="R71" s="2490"/>
    </row>
  </sheetData>
  <dataValidations count="1">
    <dataValidation allowBlank="1" showInputMessage="1" showErrorMessage="1" sqref="C59:C64 C57 C2:G29 C77:G65567 D57:D64 C71:M76 C30:Q38 H77:M1048576 C67:D70 B1:B1048576 E57:M70 N57:N65567 R1:R65567 O39:Q1048576 S1:IW1048576 C39:N56 H1:Q29" xr:uid="{D36CCA59-A0EF-45E1-8642-1400A7D07902}"/>
  </dataValidations>
  <hyperlinks>
    <hyperlink ref="B7" location="Index" display="Back to Index" xr:uid="{334CB0CC-2FB1-4266-93F9-40263F7CFA08}"/>
  </hyperlinks>
  <printOptions horizontalCentered="1" verticalCentered="1"/>
  <pageMargins left="0.39370078740157483" right="0.39370078740157483" top="0.39370078740157483" bottom="0.39370078740157483" header="0.19685039370078741" footer="0.19685039370078741"/>
  <pageSetup paperSize="9" scale="61" fitToHeight="0" orientation="landscape" r:id="rId1"/>
  <headerFooter alignWithMargins="0">
    <oddFooter>&amp;L&amp;A</oddFooter>
  </headerFooter>
  <rowBreaks count="1" manualBreakCount="1">
    <brk id="40" min="1" max="17"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0"/>
  <sheetViews>
    <sheetView showGridLines="0" topLeftCell="H1" zoomScale="70" zoomScaleNormal="70" workbookViewId="0">
      <selection activeCell="O27" sqref="O27"/>
    </sheetView>
  </sheetViews>
  <sheetFormatPr defaultColWidth="10.6640625" defaultRowHeight="14"/>
  <cols>
    <col min="1" max="1" width="2.58203125" customWidth="1"/>
    <col min="3" max="3" width="10.08203125" customWidth="1"/>
    <col min="4" max="4" width="49.58203125" customWidth="1"/>
    <col min="5" max="5" width="6" customWidth="1"/>
    <col min="6" max="6" width="15.33203125" customWidth="1"/>
    <col min="7" max="7" width="15.33203125" hidden="1" customWidth="1"/>
    <col min="8" max="8" width="16.33203125" style="602" customWidth="1"/>
    <col min="9" max="9" width="16.33203125" style="602" hidden="1" customWidth="1"/>
    <col min="12" max="12" width="7.58203125" customWidth="1"/>
    <col min="13" max="13" width="8.08203125" customWidth="1"/>
    <col min="14" max="14" width="54.83203125" style="571" customWidth="1"/>
    <col min="15" max="15" width="9.08203125" style="571" customWidth="1"/>
    <col min="16" max="16" width="15.33203125" customWidth="1"/>
    <col min="17" max="17" width="15.08203125" style="602" customWidth="1"/>
    <col min="18" max="18" width="10.08203125" style="571" customWidth="1"/>
    <col min="19" max="19" width="9.25" style="571" customWidth="1"/>
    <col min="20" max="20" width="9.58203125" customWidth="1"/>
    <col min="21" max="21" width="13.75" customWidth="1"/>
    <col min="23" max="23" width="13.08203125" customWidth="1"/>
  </cols>
  <sheetData>
    <row r="1" spans="1:23">
      <c r="B1" s="571"/>
      <c r="C1" s="571"/>
      <c r="D1" s="571"/>
      <c r="E1" s="571"/>
      <c r="F1" s="571"/>
      <c r="G1" s="571"/>
      <c r="H1" s="572"/>
      <c r="I1" s="572"/>
      <c r="J1" s="571"/>
      <c r="K1" s="571"/>
      <c r="P1" s="571"/>
      <c r="Q1" s="572"/>
    </row>
    <row r="2" spans="1:23" ht="18">
      <c r="B2" s="573" t="s">
        <v>832</v>
      </c>
      <c r="C2" s="573"/>
      <c r="D2" s="571"/>
      <c r="E2" s="571"/>
      <c r="F2" s="571"/>
      <c r="G2" s="572"/>
      <c r="H2" s="572"/>
      <c r="I2" s="642" t="s">
        <v>898</v>
      </c>
      <c r="J2" s="571"/>
      <c r="K2" s="571"/>
      <c r="P2" s="571"/>
      <c r="Q2" s="572"/>
    </row>
    <row r="3" spans="1:23">
      <c r="B3" s="574" t="s">
        <v>833</v>
      </c>
      <c r="C3" s="575"/>
      <c r="D3" s="575"/>
      <c r="E3" s="575"/>
      <c r="F3" s="575"/>
      <c r="G3" s="576"/>
      <c r="H3" s="576"/>
      <c r="I3" s="576"/>
      <c r="J3" s="575"/>
      <c r="K3" s="577"/>
      <c r="P3" s="575"/>
      <c r="Q3" s="708" t="s">
        <v>898</v>
      </c>
    </row>
    <row r="4" spans="1:23" ht="35.5" customHeight="1">
      <c r="B4" s="2842"/>
      <c r="C4" s="2843"/>
      <c r="D4" s="2843"/>
      <c r="E4" s="2843"/>
      <c r="F4" s="2843"/>
      <c r="G4" s="2843"/>
      <c r="H4" s="2843"/>
      <c r="I4" s="2843"/>
      <c r="J4" s="2843"/>
      <c r="K4" s="2844"/>
      <c r="L4" s="677"/>
      <c r="M4" s="677"/>
      <c r="P4" s="571"/>
      <c r="Q4" s="571"/>
    </row>
    <row r="5" spans="1:23" ht="35.15" customHeight="1">
      <c r="B5" s="2845" t="s">
        <v>834</v>
      </c>
      <c r="C5" s="2846"/>
      <c r="D5" s="2846"/>
      <c r="E5" s="2846"/>
      <c r="F5" s="2846"/>
      <c r="G5" s="2846"/>
      <c r="H5" s="2846"/>
      <c r="I5" s="2846"/>
      <c r="J5" s="2846"/>
      <c r="K5" s="2847"/>
      <c r="L5" s="678"/>
      <c r="M5" s="678"/>
      <c r="P5" s="571"/>
      <c r="Q5" s="571"/>
    </row>
    <row r="6" spans="1:23" ht="74.150000000000006" customHeight="1">
      <c r="B6" s="2845" t="s">
        <v>835</v>
      </c>
      <c r="C6" s="2846"/>
      <c r="D6" s="2846"/>
      <c r="E6" s="2846"/>
      <c r="F6" s="2846"/>
      <c r="G6" s="2846"/>
      <c r="H6" s="2846"/>
      <c r="I6" s="2846"/>
      <c r="J6" s="2846"/>
      <c r="K6" s="2847"/>
      <c r="L6" s="678"/>
      <c r="M6" s="678"/>
      <c r="P6" s="571"/>
      <c r="Q6" s="571"/>
    </row>
    <row r="7" spans="1:23">
      <c r="B7" s="571"/>
      <c r="C7" s="571"/>
      <c r="D7" s="571"/>
      <c r="E7" s="571"/>
      <c r="F7" s="571"/>
      <c r="G7" s="571"/>
      <c r="H7" s="572"/>
      <c r="I7" s="572"/>
      <c r="J7" s="571"/>
      <c r="K7" s="571"/>
      <c r="P7" s="571"/>
      <c r="Q7" s="572"/>
    </row>
    <row r="8" spans="1:23" ht="16.5">
      <c r="B8" s="2848" t="s">
        <v>836</v>
      </c>
      <c r="C8" s="2849"/>
      <c r="D8" s="2849"/>
      <c r="E8" s="2849"/>
      <c r="F8" s="2849"/>
      <c r="G8" s="2849"/>
      <c r="H8" s="2849"/>
      <c r="I8" s="2849"/>
      <c r="J8" s="2849"/>
      <c r="K8" s="2850"/>
      <c r="L8" s="679"/>
      <c r="M8" s="2869" t="s">
        <v>960</v>
      </c>
      <c r="N8" s="2869"/>
      <c r="O8" s="2869"/>
      <c r="P8" s="2869"/>
      <c r="Q8" s="2869"/>
      <c r="R8" s="2869"/>
      <c r="S8" s="2869"/>
      <c r="T8" s="2869"/>
      <c r="U8" s="2869"/>
      <c r="V8" s="2869"/>
      <c r="W8" s="2869"/>
    </row>
    <row r="9" spans="1:23" ht="16.5">
      <c r="B9" s="613" t="s">
        <v>7</v>
      </c>
      <c r="C9" s="614"/>
      <c r="D9" s="615"/>
      <c r="E9" s="640" t="s">
        <v>837</v>
      </c>
      <c r="F9" s="2848" t="s">
        <v>838</v>
      </c>
      <c r="G9" s="2850"/>
      <c r="H9" s="2848" t="s">
        <v>839</v>
      </c>
      <c r="I9" s="2850"/>
      <c r="J9" s="616" t="s">
        <v>840</v>
      </c>
      <c r="K9" s="616" t="s">
        <v>8</v>
      </c>
      <c r="L9" s="679"/>
      <c r="M9" s="695" t="s">
        <v>7</v>
      </c>
      <c r="N9" s="705" t="s">
        <v>837</v>
      </c>
      <c r="O9" s="705" t="s">
        <v>838</v>
      </c>
      <c r="P9" s="705" t="s">
        <v>839</v>
      </c>
      <c r="Q9" s="705" t="s">
        <v>840</v>
      </c>
      <c r="R9" s="2872" t="s">
        <v>957</v>
      </c>
      <c r="S9" s="2873"/>
      <c r="T9" s="2874"/>
      <c r="U9" s="705" t="s">
        <v>8</v>
      </c>
      <c r="V9" s="705" t="s">
        <v>958</v>
      </c>
      <c r="W9" s="705" t="s">
        <v>959</v>
      </c>
    </row>
    <row r="10" spans="1:23" ht="16.5">
      <c r="B10" s="571"/>
      <c r="C10" s="578"/>
      <c r="D10" s="579"/>
      <c r="E10" s="580"/>
      <c r="F10" s="581"/>
      <c r="G10" s="582"/>
      <c r="H10" s="581"/>
      <c r="I10" s="582"/>
      <c r="J10" s="580"/>
      <c r="K10" s="580"/>
      <c r="L10" s="679"/>
      <c r="M10" s="679"/>
      <c r="P10" s="702"/>
      <c r="Q10" s="702"/>
    </row>
    <row r="11" spans="1:23" ht="108.5">
      <c r="A11" s="675" t="s">
        <v>932</v>
      </c>
      <c r="B11" s="671" t="s">
        <v>841</v>
      </c>
      <c r="C11" s="610" t="s">
        <v>82</v>
      </c>
      <c r="D11" s="611" t="s">
        <v>842</v>
      </c>
      <c r="E11" s="612" t="s">
        <v>843</v>
      </c>
      <c r="F11" s="612" t="s">
        <v>947</v>
      </c>
      <c r="G11" s="612" t="s">
        <v>948</v>
      </c>
      <c r="H11" s="612" t="s">
        <v>846</v>
      </c>
      <c r="I11" s="612" t="s">
        <v>847</v>
      </c>
      <c r="J11" s="612" t="s">
        <v>848</v>
      </c>
      <c r="K11" s="612" t="s">
        <v>849</v>
      </c>
      <c r="L11" s="680"/>
      <c r="M11" s="686" t="s">
        <v>954</v>
      </c>
      <c r="N11" s="611" t="s">
        <v>842</v>
      </c>
      <c r="O11" s="612" t="s">
        <v>843</v>
      </c>
      <c r="P11" s="612" t="s">
        <v>947</v>
      </c>
      <c r="Q11" s="612" t="s">
        <v>846</v>
      </c>
      <c r="R11" s="686" t="s">
        <v>950</v>
      </c>
      <c r="S11" s="686" t="s">
        <v>951</v>
      </c>
      <c r="T11" s="686" t="s">
        <v>952</v>
      </c>
      <c r="U11" s="687" t="s">
        <v>953</v>
      </c>
      <c r="V11" s="695" t="s">
        <v>949</v>
      </c>
      <c r="W11" s="695" t="s">
        <v>955</v>
      </c>
    </row>
    <row r="12" spans="1:23" ht="31">
      <c r="A12" s="185">
        <v>1</v>
      </c>
      <c r="B12" s="672" t="s">
        <v>680</v>
      </c>
      <c r="C12" s="589" t="s">
        <v>315</v>
      </c>
      <c r="D12" s="645" t="s">
        <v>920</v>
      </c>
      <c r="E12" s="646" t="s">
        <v>84</v>
      </c>
      <c r="F12" s="669">
        <v>3240.0948543721474</v>
      </c>
      <c r="G12" s="669">
        <v>3240.0948543721474</v>
      </c>
      <c r="H12" s="649">
        <v>3675.7002357035362</v>
      </c>
      <c r="I12" s="649">
        <v>3675.7002357035362</v>
      </c>
      <c r="J12" s="647">
        <f>IFERROR(H12/$H$42,"faltan datos")</f>
        <v>0.19180440106780766</v>
      </c>
      <c r="K12" s="676">
        <f>J12</f>
        <v>0.19180440106780766</v>
      </c>
      <c r="L12" s="681"/>
      <c r="M12" s="688" t="s">
        <v>129</v>
      </c>
      <c r="N12" s="690" t="s">
        <v>939</v>
      </c>
      <c r="O12" s="646" t="s">
        <v>85</v>
      </c>
      <c r="P12" s="669">
        <v>273.52929668373127</v>
      </c>
      <c r="Q12" s="649">
        <v>831.15420022358762</v>
      </c>
      <c r="R12" s="696">
        <f t="shared" ref="R12:R40" si="0">P12/P$42</f>
        <v>1.4949731914145968E-2</v>
      </c>
      <c r="S12" s="696">
        <f t="shared" ref="S12:S39" si="1">(Q12-P12)/P12</f>
        <v>2.0386295373128207</v>
      </c>
      <c r="T12" s="697">
        <f t="shared" ref="T12:T40" si="2">(Q$42-P$42)/P$42</f>
        <v>4.7396393134555861E-2</v>
      </c>
      <c r="U12" s="558">
        <f t="shared" ref="U12:U40" si="3">R12*(ABS(S12-T12))</f>
        <v>2.9768401684027026E-2</v>
      </c>
      <c r="V12" s="701">
        <f t="shared" ref="V12:V40" si="4">U12/U$42</f>
        <v>0.17302415834104903</v>
      </c>
      <c r="W12" s="704">
        <f>V12</f>
        <v>0.17302415834104903</v>
      </c>
    </row>
    <row r="13" spans="1:23" ht="19.5">
      <c r="A13" s="185">
        <v>2</v>
      </c>
      <c r="B13" s="672" t="s">
        <v>680</v>
      </c>
      <c r="C13" s="589" t="s">
        <v>315</v>
      </c>
      <c r="D13" s="645" t="s">
        <v>917</v>
      </c>
      <c r="E13" s="646" t="s">
        <v>84</v>
      </c>
      <c r="F13" s="669">
        <v>2679.974189555016</v>
      </c>
      <c r="G13" s="669">
        <v>2679.974189555016</v>
      </c>
      <c r="H13" s="649">
        <v>3074.8442151404756</v>
      </c>
      <c r="I13" s="649">
        <v>3074.8442151404756</v>
      </c>
      <c r="J13" s="647">
        <f>IFERROR(H13/$H$42,"faltan datos")</f>
        <v>0.16045069381152874</v>
      </c>
      <c r="K13" s="676">
        <f>K12+J13</f>
        <v>0.35225509487933637</v>
      </c>
      <c r="L13" s="681"/>
      <c r="M13" s="688" t="s">
        <v>680</v>
      </c>
      <c r="N13" s="689" t="s">
        <v>918</v>
      </c>
      <c r="O13" s="646" t="s">
        <v>84</v>
      </c>
      <c r="P13" s="669">
        <v>1096.9265270166334</v>
      </c>
      <c r="Q13" s="649">
        <v>662.22457631522389</v>
      </c>
      <c r="R13" s="696">
        <f t="shared" si="0"/>
        <v>5.9952472028526271E-2</v>
      </c>
      <c r="S13" s="696">
        <f t="shared" si="1"/>
        <v>-0.39629085448748369</v>
      </c>
      <c r="T13" s="697">
        <f t="shared" si="2"/>
        <v>4.7396393134555861E-2</v>
      </c>
      <c r="U13" s="558">
        <f t="shared" si="3"/>
        <v>2.6600147302474134E-2</v>
      </c>
      <c r="V13" s="701">
        <f t="shared" si="4"/>
        <v>0.15460917746309777</v>
      </c>
      <c r="W13" s="704">
        <f>W12+V13</f>
        <v>0.32763333580414677</v>
      </c>
    </row>
    <row r="14" spans="1:23" ht="31">
      <c r="A14" s="185">
        <v>3</v>
      </c>
      <c r="B14" s="672" t="s">
        <v>129</v>
      </c>
      <c r="C14" s="589" t="s">
        <v>315</v>
      </c>
      <c r="D14" s="655" t="s">
        <v>940</v>
      </c>
      <c r="E14" s="646" t="s">
        <v>85</v>
      </c>
      <c r="F14" s="669">
        <v>2845.0035367016444</v>
      </c>
      <c r="G14" s="669">
        <v>2845.0035367016444</v>
      </c>
      <c r="H14" s="649">
        <v>2665.9642076026435</v>
      </c>
      <c r="I14" s="647">
        <v>2665.9642076026435</v>
      </c>
      <c r="J14" s="647">
        <f t="shared" ref="J14:J40" si="5">IFERROR(H14/$H$42,"faltan datos")</f>
        <v>0.13911462723226267</v>
      </c>
      <c r="K14" s="676">
        <f t="shared" ref="K14:K40" si="6">K13+J14</f>
        <v>0.49136972211159902</v>
      </c>
      <c r="L14" s="681"/>
      <c r="M14" s="688" t="s">
        <v>680</v>
      </c>
      <c r="N14" s="689" t="s">
        <v>921</v>
      </c>
      <c r="O14" s="646" t="s">
        <v>84</v>
      </c>
      <c r="P14" s="669">
        <v>687.01440652895565</v>
      </c>
      <c r="Q14" s="649">
        <v>367.23985672608188</v>
      </c>
      <c r="R14" s="696">
        <f t="shared" si="0"/>
        <v>3.7548742760960901E-2</v>
      </c>
      <c r="S14" s="696">
        <f t="shared" si="1"/>
        <v>-0.46545537730204234</v>
      </c>
      <c r="T14" s="697">
        <f t="shared" si="2"/>
        <v>4.7396393134555861E-2</v>
      </c>
      <c r="U14" s="558">
        <f t="shared" si="3"/>
        <v>1.92569392026272E-2</v>
      </c>
      <c r="V14" s="701">
        <f t="shared" si="4"/>
        <v>0.11192793395915324</v>
      </c>
      <c r="W14" s="704">
        <f t="shared" ref="W14:W40" si="7">W13+V14</f>
        <v>0.43956126976330001</v>
      </c>
    </row>
    <row r="15" spans="1:23" ht="31">
      <c r="A15" s="185">
        <v>4</v>
      </c>
      <c r="B15" s="672" t="s">
        <v>680</v>
      </c>
      <c r="C15" s="589" t="s">
        <v>315</v>
      </c>
      <c r="D15" s="645" t="s">
        <v>919</v>
      </c>
      <c r="E15" s="646" t="s">
        <v>84</v>
      </c>
      <c r="F15" s="669">
        <v>2009.7531286968995</v>
      </c>
      <c r="G15" s="669">
        <v>2009.7531286968995</v>
      </c>
      <c r="H15" s="649">
        <v>2341.6282116715552</v>
      </c>
      <c r="I15" s="649">
        <v>2341.6282116715552</v>
      </c>
      <c r="J15" s="647">
        <f t="shared" si="5"/>
        <v>0.12219021352734956</v>
      </c>
      <c r="K15" s="676">
        <f t="shared" si="6"/>
        <v>0.61355993563894862</v>
      </c>
      <c r="L15" s="681"/>
      <c r="M15" s="688" t="s">
        <v>129</v>
      </c>
      <c r="N15" s="690" t="s">
        <v>940</v>
      </c>
      <c r="O15" s="646" t="s">
        <v>85</v>
      </c>
      <c r="P15" s="669">
        <v>2845.0035367016444</v>
      </c>
      <c r="Q15" s="649">
        <v>2665.9642076026435</v>
      </c>
      <c r="R15" s="696">
        <f t="shared" si="0"/>
        <v>0.15549354560606526</v>
      </c>
      <c r="S15" s="696">
        <f t="shared" si="1"/>
        <v>-6.2931144650375456E-2</v>
      </c>
      <c r="T15" s="697">
        <f t="shared" si="2"/>
        <v>4.7396393134555861E-2</v>
      </c>
      <c r="U15" s="558">
        <f t="shared" si="3"/>
        <v>1.7155220028166107E-2</v>
      </c>
      <c r="V15" s="701">
        <f t="shared" si="4"/>
        <v>9.9712021425780673E-2</v>
      </c>
      <c r="W15" s="704">
        <f t="shared" si="7"/>
        <v>0.53927329118908074</v>
      </c>
    </row>
    <row r="16" spans="1:23" ht="31">
      <c r="A16" s="185">
        <v>5</v>
      </c>
      <c r="B16" s="672" t="s">
        <v>129</v>
      </c>
      <c r="C16" s="589" t="s">
        <v>315</v>
      </c>
      <c r="D16" s="655" t="s">
        <v>942</v>
      </c>
      <c r="E16" s="646" t="s">
        <v>85</v>
      </c>
      <c r="F16" s="669">
        <v>2088.9680112811516</v>
      </c>
      <c r="G16" s="669">
        <v>2088.9680112811516</v>
      </c>
      <c r="H16" s="649">
        <v>2017.0441328511672</v>
      </c>
      <c r="I16" s="648">
        <v>2017.0441328511672</v>
      </c>
      <c r="J16" s="647">
        <f t="shared" si="5"/>
        <v>0.10525285442783242</v>
      </c>
      <c r="K16" s="676">
        <f t="shared" si="6"/>
        <v>0.718812790066781</v>
      </c>
      <c r="L16" s="681"/>
      <c r="M16" s="688" t="s">
        <v>680</v>
      </c>
      <c r="N16" s="689" t="s">
        <v>920</v>
      </c>
      <c r="O16" s="646" t="s">
        <v>84</v>
      </c>
      <c r="P16" s="669">
        <v>3240.0948543721474</v>
      </c>
      <c r="Q16" s="649">
        <v>3675.7002357035362</v>
      </c>
      <c r="R16" s="696">
        <f t="shared" si="0"/>
        <v>0.17708724453481334</v>
      </c>
      <c r="S16" s="696">
        <f t="shared" si="1"/>
        <v>0.13444216941475889</v>
      </c>
      <c r="T16" s="697">
        <f t="shared" si="2"/>
        <v>4.7396393134555861E-2</v>
      </c>
      <c r="U16" s="558">
        <f t="shared" si="3"/>
        <v>1.5414696669854969E-2</v>
      </c>
      <c r="V16" s="701">
        <f t="shared" si="4"/>
        <v>8.9595502831962048E-2</v>
      </c>
      <c r="W16" s="704">
        <f t="shared" si="7"/>
        <v>0.62886879402104279</v>
      </c>
    </row>
    <row r="17" spans="1:23" ht="19.5">
      <c r="A17" s="185">
        <v>6</v>
      </c>
      <c r="B17" s="672" t="s">
        <v>161</v>
      </c>
      <c r="C17" s="589" t="s">
        <v>315</v>
      </c>
      <c r="D17" s="645" t="s">
        <v>944</v>
      </c>
      <c r="E17" s="646" t="s">
        <v>85</v>
      </c>
      <c r="F17" s="669">
        <v>1058.0177613625169</v>
      </c>
      <c r="G17" s="669">
        <v>1058.0177613625169</v>
      </c>
      <c r="H17" s="649">
        <v>1143.8764546375869</v>
      </c>
      <c r="I17" s="648">
        <v>1143.8764546375869</v>
      </c>
      <c r="J17" s="647">
        <f t="shared" si="5"/>
        <v>5.9689453494113871E-2</v>
      </c>
      <c r="K17" s="676">
        <f t="shared" si="6"/>
        <v>0.77850224356089492</v>
      </c>
      <c r="L17" s="681"/>
      <c r="M17" s="688" t="s">
        <v>680</v>
      </c>
      <c r="N17" s="689" t="s">
        <v>917</v>
      </c>
      <c r="O17" s="646" t="s">
        <v>84</v>
      </c>
      <c r="P17" s="669">
        <v>2679.974189555016</v>
      </c>
      <c r="Q17" s="649">
        <v>3074.8442151404756</v>
      </c>
      <c r="R17" s="696">
        <f t="shared" si="0"/>
        <v>0.14647387375474885</v>
      </c>
      <c r="S17" s="696">
        <f t="shared" si="1"/>
        <v>0.14734098079169339</v>
      </c>
      <c r="T17" s="697">
        <f t="shared" si="2"/>
        <v>4.7396393134555861E-2</v>
      </c>
      <c r="U17" s="558">
        <f t="shared" si="3"/>
        <v>1.4639270914961993E-2</v>
      </c>
      <c r="V17" s="701">
        <f t="shared" si="4"/>
        <v>8.508846244664231E-2</v>
      </c>
      <c r="W17" s="704">
        <f t="shared" si="7"/>
        <v>0.71395725646768504</v>
      </c>
    </row>
    <row r="18" spans="1:23" ht="19.5">
      <c r="A18" s="185">
        <v>7</v>
      </c>
      <c r="B18" s="672" t="s">
        <v>161</v>
      </c>
      <c r="C18" s="589" t="s">
        <v>315</v>
      </c>
      <c r="D18" s="645" t="s">
        <v>943</v>
      </c>
      <c r="E18" s="646" t="s">
        <v>85</v>
      </c>
      <c r="F18" s="669">
        <v>833.0392719931898</v>
      </c>
      <c r="G18" s="669">
        <v>833.0392719931898</v>
      </c>
      <c r="H18" s="649">
        <v>835.14415848020622</v>
      </c>
      <c r="I18" s="648">
        <v>835.14415848020622</v>
      </c>
      <c r="J18" s="647">
        <f t="shared" si="5"/>
        <v>4.3579267853956161E-2</v>
      </c>
      <c r="K18" s="676">
        <f t="shared" si="6"/>
        <v>0.82208151141485108</v>
      </c>
      <c r="L18" s="681"/>
      <c r="M18" s="688" t="s">
        <v>680</v>
      </c>
      <c r="N18" s="689" t="s">
        <v>919</v>
      </c>
      <c r="O18" s="646" t="s">
        <v>84</v>
      </c>
      <c r="P18" s="669">
        <v>2009.7531286968995</v>
      </c>
      <c r="Q18" s="649">
        <v>2341.6282116715552</v>
      </c>
      <c r="R18" s="696">
        <f t="shared" si="0"/>
        <v>0.10984297057720528</v>
      </c>
      <c r="S18" s="696">
        <f t="shared" si="1"/>
        <v>0.16513226337895523</v>
      </c>
      <c r="T18" s="697">
        <f t="shared" si="2"/>
        <v>4.7396393134555861E-2</v>
      </c>
      <c r="U18" s="558">
        <f t="shared" si="3"/>
        <v>1.2932457731137218E-2</v>
      </c>
      <c r="V18" s="701">
        <f t="shared" si="4"/>
        <v>7.5167878946348146E-2</v>
      </c>
      <c r="W18" s="704">
        <f t="shared" si="7"/>
        <v>0.78912513541403317</v>
      </c>
    </row>
    <row r="19" spans="1:23" ht="31">
      <c r="A19" s="185">
        <v>8</v>
      </c>
      <c r="B19" s="672" t="s">
        <v>129</v>
      </c>
      <c r="C19" s="589" t="s">
        <v>315</v>
      </c>
      <c r="D19" s="655" t="s">
        <v>939</v>
      </c>
      <c r="E19" s="646" t="s">
        <v>85</v>
      </c>
      <c r="F19" s="669">
        <v>273.52929668373127</v>
      </c>
      <c r="G19" s="669">
        <v>273.52929668373127</v>
      </c>
      <c r="H19" s="649">
        <v>831.15420022358762</v>
      </c>
      <c r="I19" s="647">
        <v>831.15420022358762</v>
      </c>
      <c r="J19" s="647">
        <f t="shared" si="5"/>
        <v>4.3371064925365112E-2</v>
      </c>
      <c r="K19" s="676">
        <f t="shared" si="6"/>
        <v>0.86545257634021622</v>
      </c>
      <c r="L19" s="681"/>
      <c r="M19" s="688" t="s">
        <v>129</v>
      </c>
      <c r="N19" s="690" t="s">
        <v>942</v>
      </c>
      <c r="O19" s="646" t="s">
        <v>85</v>
      </c>
      <c r="P19" s="669">
        <v>2088.9680112811516</v>
      </c>
      <c r="Q19" s="649">
        <v>2017.0441328511672</v>
      </c>
      <c r="R19" s="696">
        <f t="shared" si="0"/>
        <v>0.11417245656866162</v>
      </c>
      <c r="S19" s="696">
        <f t="shared" si="1"/>
        <v>-3.4430339785755687E-2</v>
      </c>
      <c r="T19" s="697">
        <f t="shared" si="2"/>
        <v>4.7396393134555861E-2</v>
      </c>
      <c r="U19" s="558">
        <f t="shared" si="3"/>
        <v>9.3423591104997445E-3</v>
      </c>
      <c r="V19" s="701">
        <f t="shared" si="4"/>
        <v>5.4300994698059254E-2</v>
      </c>
      <c r="W19" s="704">
        <f t="shared" si="7"/>
        <v>0.84342613011209244</v>
      </c>
    </row>
    <row r="20" spans="1:23" ht="31">
      <c r="A20" s="185">
        <v>9</v>
      </c>
      <c r="B20" s="672" t="s">
        <v>680</v>
      </c>
      <c r="C20" s="589" t="s">
        <v>315</v>
      </c>
      <c r="D20" s="645" t="s">
        <v>918</v>
      </c>
      <c r="E20" s="646" t="s">
        <v>84</v>
      </c>
      <c r="F20" s="669">
        <v>1096.9265270166334</v>
      </c>
      <c r="G20" s="669">
        <v>1096.9265270166334</v>
      </c>
      <c r="H20" s="649">
        <v>662.22457631522389</v>
      </c>
      <c r="I20" s="649">
        <v>662.22457631522389</v>
      </c>
      <c r="J20" s="647">
        <f t="shared" si="5"/>
        <v>3.4556024726595476E-2</v>
      </c>
      <c r="K20" s="676">
        <f t="shared" si="6"/>
        <v>0.90000860106681169</v>
      </c>
      <c r="L20" s="681"/>
      <c r="M20" s="688" t="s">
        <v>104</v>
      </c>
      <c r="N20" s="689" t="s">
        <v>854</v>
      </c>
      <c r="O20" s="646" t="s">
        <v>83</v>
      </c>
      <c r="P20" s="669">
        <v>97.782993733333342</v>
      </c>
      <c r="Q20" s="649">
        <v>215.79233133333335</v>
      </c>
      <c r="R20" s="696">
        <f t="shared" si="0"/>
        <v>5.3443253055492322E-3</v>
      </c>
      <c r="S20" s="696">
        <f t="shared" si="1"/>
        <v>1.2068493006240582</v>
      </c>
      <c r="T20" s="697">
        <f t="shared" si="2"/>
        <v>4.7396393134555861E-2</v>
      </c>
      <c r="U20" s="558">
        <f t="shared" si="3"/>
        <v>6.1964935140887802E-3</v>
      </c>
      <c r="V20" s="701">
        <f t="shared" si="4"/>
        <v>3.601614511659406E-2</v>
      </c>
      <c r="W20" s="704">
        <f t="shared" si="7"/>
        <v>0.87944227522868645</v>
      </c>
    </row>
    <row r="21" spans="1:23" ht="19.5">
      <c r="A21" s="185">
        <v>10</v>
      </c>
      <c r="B21" s="672" t="s">
        <v>202</v>
      </c>
      <c r="C21" s="589" t="s">
        <v>315</v>
      </c>
      <c r="D21" s="655" t="s">
        <v>938</v>
      </c>
      <c r="E21" s="646" t="s">
        <v>84</v>
      </c>
      <c r="F21" s="669">
        <v>517.09</v>
      </c>
      <c r="G21" s="669">
        <v>1096.9265270166334</v>
      </c>
      <c r="H21" s="649">
        <v>457.39684417515764</v>
      </c>
      <c r="I21" s="666">
        <v>621.28809737710139</v>
      </c>
      <c r="J21" s="647">
        <f t="shared" si="5"/>
        <v>2.3867759099384128E-2</v>
      </c>
      <c r="K21" s="676">
        <f t="shared" si="6"/>
        <v>0.92387636016619579</v>
      </c>
      <c r="L21" s="681"/>
      <c r="M21" s="688" t="s">
        <v>202</v>
      </c>
      <c r="N21" s="690" t="s">
        <v>938</v>
      </c>
      <c r="O21" s="646" t="s">
        <v>84</v>
      </c>
      <c r="P21" s="669">
        <v>517.09</v>
      </c>
      <c r="Q21" s="649">
        <v>457.39684417515764</v>
      </c>
      <c r="R21" s="696">
        <f t="shared" si="0"/>
        <v>2.8261531650205562E-2</v>
      </c>
      <c r="S21" s="696">
        <f t="shared" si="1"/>
        <v>-0.11544055353002841</v>
      </c>
      <c r="T21" s="697">
        <f t="shared" si="2"/>
        <v>4.7396393134555861E-2</v>
      </c>
      <c r="U21" s="558">
        <f t="shared" si="3"/>
        <v>4.6020215219839834E-3</v>
      </c>
      <c r="V21" s="701">
        <f t="shared" si="4"/>
        <v>2.6748527145007108E-2</v>
      </c>
      <c r="W21" s="704">
        <f t="shared" si="7"/>
        <v>0.90619080237369354</v>
      </c>
    </row>
    <row r="22" spans="1:23" ht="31">
      <c r="A22" s="185">
        <v>11</v>
      </c>
      <c r="B22" s="672" t="s">
        <v>129</v>
      </c>
      <c r="C22" s="589" t="s">
        <v>315</v>
      </c>
      <c r="D22" s="655" t="s">
        <v>941</v>
      </c>
      <c r="E22" s="646" t="s">
        <v>85</v>
      </c>
      <c r="F22" s="669">
        <v>342.99232075273164</v>
      </c>
      <c r="G22" s="669">
        <v>342.99232075273164</v>
      </c>
      <c r="H22" s="649">
        <v>425.12495651698362</v>
      </c>
      <c r="I22" s="647">
        <v>425.12495651698362</v>
      </c>
      <c r="J22" s="647">
        <f t="shared" si="5"/>
        <v>2.2183756137586868E-2</v>
      </c>
      <c r="K22" s="676">
        <f t="shared" si="6"/>
        <v>0.94606011630378262</v>
      </c>
      <c r="L22" s="681"/>
      <c r="M22" s="688" t="s">
        <v>110</v>
      </c>
      <c r="N22" s="690" t="s">
        <v>931</v>
      </c>
      <c r="O22" s="646" t="s">
        <v>956</v>
      </c>
      <c r="P22" s="669">
        <v>179.39553696291244</v>
      </c>
      <c r="Q22" s="698">
        <v>112.34901845427284</v>
      </c>
      <c r="R22" s="696">
        <f t="shared" si="0"/>
        <v>9.8048553361754671E-3</v>
      </c>
      <c r="S22" s="696">
        <f t="shared" si="1"/>
        <v>-0.3737357107300866</v>
      </c>
      <c r="T22" s="697">
        <f t="shared" si="2"/>
        <v>4.7396393134555861E-2</v>
      </c>
      <c r="U22" s="558">
        <f t="shared" si="3"/>
        <v>4.1291393558120408E-3</v>
      </c>
      <c r="V22" s="701">
        <f t="shared" si="4"/>
        <v>2.3999973841243572E-2</v>
      </c>
      <c r="W22" s="704">
        <f t="shared" si="7"/>
        <v>0.93019077621493707</v>
      </c>
    </row>
    <row r="23" spans="1:23" ht="31">
      <c r="A23" s="185">
        <v>12</v>
      </c>
      <c r="B23" s="672" t="s">
        <v>680</v>
      </c>
      <c r="C23" s="589" t="s">
        <v>315</v>
      </c>
      <c r="D23" s="645" t="s">
        <v>921</v>
      </c>
      <c r="E23" s="646" t="s">
        <v>84</v>
      </c>
      <c r="F23" s="669">
        <v>687.01440652895565</v>
      </c>
      <c r="G23" s="669">
        <v>687.01440652895565</v>
      </c>
      <c r="H23" s="649">
        <v>367.23985672608188</v>
      </c>
      <c r="I23" s="649">
        <v>367.23985672608188</v>
      </c>
      <c r="J23" s="647">
        <f t="shared" si="5"/>
        <v>1.916321142931603E-2</v>
      </c>
      <c r="K23" s="676">
        <f t="shared" si="6"/>
        <v>0.9652233277330986</v>
      </c>
      <c r="L23" s="681"/>
      <c r="M23" s="688" t="s">
        <v>129</v>
      </c>
      <c r="N23" s="690" t="s">
        <v>941</v>
      </c>
      <c r="O23" s="646" t="s">
        <v>85</v>
      </c>
      <c r="P23" s="669">
        <v>342.99232075273164</v>
      </c>
      <c r="Q23" s="649">
        <v>425.12495651698362</v>
      </c>
      <c r="R23" s="696">
        <f t="shared" si="0"/>
        <v>1.8746230499005558E-2</v>
      </c>
      <c r="S23" s="696">
        <f t="shared" si="1"/>
        <v>0.23945910970835593</v>
      </c>
      <c r="T23" s="697">
        <f t="shared" si="2"/>
        <v>4.7396393134555861E-2</v>
      </c>
      <c r="U23" s="558">
        <f t="shared" si="3"/>
        <v>3.6004519551576315E-3</v>
      </c>
      <c r="V23" s="701">
        <f t="shared" si="4"/>
        <v>2.0927061378737073E-2</v>
      </c>
      <c r="W23" s="704">
        <f t="shared" si="7"/>
        <v>0.95111783759367419</v>
      </c>
    </row>
    <row r="24" spans="1:23" ht="19.5">
      <c r="A24" s="185">
        <v>13</v>
      </c>
      <c r="B24" s="672" t="s">
        <v>104</v>
      </c>
      <c r="C24" s="589" t="s">
        <v>315</v>
      </c>
      <c r="D24" s="645" t="s">
        <v>854</v>
      </c>
      <c r="E24" s="646" t="s">
        <v>83</v>
      </c>
      <c r="F24" s="669">
        <v>97.782993733333342</v>
      </c>
      <c r="G24" s="669">
        <v>97.782993733333342</v>
      </c>
      <c r="H24" s="649">
        <v>215.79233133333335</v>
      </c>
      <c r="I24" s="666">
        <v>215.79233133333335</v>
      </c>
      <c r="J24" s="647">
        <f t="shared" si="5"/>
        <v>1.1260417393230054E-2</v>
      </c>
      <c r="K24" s="676">
        <f t="shared" si="6"/>
        <v>0.97648374512632863</v>
      </c>
      <c r="L24" s="681"/>
      <c r="M24" s="691" t="s">
        <v>110</v>
      </c>
      <c r="N24" s="692" t="s">
        <v>926</v>
      </c>
      <c r="O24" s="646" t="s">
        <v>84</v>
      </c>
      <c r="P24" s="669">
        <v>146.75809046157423</v>
      </c>
      <c r="Q24" s="699">
        <v>107.02764918937207</v>
      </c>
      <c r="R24" s="696">
        <f t="shared" si="0"/>
        <v>8.0210571051528966E-3</v>
      </c>
      <c r="S24" s="696">
        <f t="shared" si="1"/>
        <v>-0.27072062022096699</v>
      </c>
      <c r="T24" s="697">
        <f t="shared" si="2"/>
        <v>4.7396393134555861E-2</v>
      </c>
      <c r="U24" s="558">
        <f t="shared" si="3"/>
        <v>2.5516347302453352E-3</v>
      </c>
      <c r="V24" s="701">
        <f t="shared" si="4"/>
        <v>1.4830976022182057E-2</v>
      </c>
      <c r="W24" s="703">
        <f t="shared" si="7"/>
        <v>0.96594881361585627</v>
      </c>
    </row>
    <row r="25" spans="1:23" ht="31">
      <c r="A25" s="185">
        <v>14</v>
      </c>
      <c r="B25" s="672" t="s">
        <v>110</v>
      </c>
      <c r="C25" s="657" t="s">
        <v>315</v>
      </c>
      <c r="D25" s="655" t="s">
        <v>931</v>
      </c>
      <c r="E25" s="658" t="s">
        <v>85</v>
      </c>
      <c r="F25" s="669">
        <v>179.39553696291244</v>
      </c>
      <c r="G25" s="669">
        <v>179.39553696291244</v>
      </c>
      <c r="H25" s="698">
        <v>112.34901845427284</v>
      </c>
      <c r="I25" s="659">
        <v>112.34901845427284</v>
      </c>
      <c r="J25" s="647">
        <f t="shared" si="5"/>
        <v>5.8625662631200245E-3</v>
      </c>
      <c r="K25" s="676">
        <f t="shared" si="6"/>
        <v>0.98234631138944861</v>
      </c>
      <c r="L25" s="681"/>
      <c r="M25" s="688" t="s">
        <v>161</v>
      </c>
      <c r="N25" s="689" t="s">
        <v>943</v>
      </c>
      <c r="O25" s="658" t="s">
        <v>85</v>
      </c>
      <c r="P25" s="669">
        <v>833.0392719931898</v>
      </c>
      <c r="Q25" s="649">
        <v>835.14415848020622</v>
      </c>
      <c r="R25" s="696">
        <f t="shared" si="0"/>
        <v>4.5529725485504907E-2</v>
      </c>
      <c r="S25" s="696">
        <f t="shared" si="1"/>
        <v>2.5267554097180944E-3</v>
      </c>
      <c r="T25" s="697">
        <f t="shared" si="2"/>
        <v>4.7396393134555861E-2</v>
      </c>
      <c r="U25" s="558">
        <f t="shared" si="3"/>
        <v>2.0429022882459185E-3</v>
      </c>
      <c r="V25" s="701">
        <f t="shared" si="4"/>
        <v>1.187404862204668E-2</v>
      </c>
      <c r="W25" s="703">
        <f t="shared" si="7"/>
        <v>0.97782286223790293</v>
      </c>
    </row>
    <row r="26" spans="1:23" ht="31">
      <c r="A26" s="185">
        <v>15</v>
      </c>
      <c r="B26" s="673" t="s">
        <v>110</v>
      </c>
      <c r="C26" s="651" t="s">
        <v>315</v>
      </c>
      <c r="D26" s="652" t="s">
        <v>926</v>
      </c>
      <c r="E26" s="653" t="s">
        <v>84</v>
      </c>
      <c r="F26" s="669">
        <v>146.75809046157423</v>
      </c>
      <c r="G26" s="669">
        <v>146.75809046157423</v>
      </c>
      <c r="H26" s="699">
        <v>107.02764918937207</v>
      </c>
      <c r="I26" s="654">
        <v>107.02764918937207</v>
      </c>
      <c r="J26" s="647">
        <f t="shared" si="5"/>
        <v>5.5848880033966559E-3</v>
      </c>
      <c r="K26" s="676">
        <f t="shared" si="6"/>
        <v>0.98793119939284524</v>
      </c>
      <c r="L26" s="681"/>
      <c r="M26" s="688" t="s">
        <v>161</v>
      </c>
      <c r="N26" s="689" t="s">
        <v>944</v>
      </c>
      <c r="O26" s="653" t="s">
        <v>85</v>
      </c>
      <c r="P26" s="669">
        <v>1058.0177613625169</v>
      </c>
      <c r="Q26" s="649">
        <v>1143.8764546375869</v>
      </c>
      <c r="R26" s="696">
        <f t="shared" si="0"/>
        <v>5.7825915119662744E-2</v>
      </c>
      <c r="S26" s="696">
        <f t="shared" si="1"/>
        <v>8.1150521674136195E-2</v>
      </c>
      <c r="T26" s="697">
        <f t="shared" si="2"/>
        <v>4.7396393134555861E-2</v>
      </c>
      <c r="U26" s="558">
        <f t="shared" si="3"/>
        <v>1.9518633718679582E-3</v>
      </c>
      <c r="V26" s="701">
        <f t="shared" si="4"/>
        <v>1.1344899222298093E-2</v>
      </c>
      <c r="W26" s="703">
        <f t="shared" si="7"/>
        <v>0.98916776146020102</v>
      </c>
    </row>
    <row r="27" spans="1:23" ht="31">
      <c r="A27" s="185">
        <v>16</v>
      </c>
      <c r="B27" s="673" t="s">
        <v>110</v>
      </c>
      <c r="C27" s="651" t="s">
        <v>315</v>
      </c>
      <c r="D27" s="652" t="s">
        <v>925</v>
      </c>
      <c r="E27" s="653" t="s">
        <v>84</v>
      </c>
      <c r="F27" s="669">
        <v>61.852590300751878</v>
      </c>
      <c r="G27" s="669">
        <v>61.852590300751878</v>
      </c>
      <c r="H27" s="699">
        <v>70.168186724707212</v>
      </c>
      <c r="I27" s="654">
        <v>70.168186724707212</v>
      </c>
      <c r="J27" s="647">
        <f t="shared" si="5"/>
        <v>3.6614974469403551E-3</v>
      </c>
      <c r="K27" s="676">
        <f t="shared" si="6"/>
        <v>0.99159269683978557</v>
      </c>
      <c r="L27" s="681"/>
      <c r="M27" s="688" t="s">
        <v>259</v>
      </c>
      <c r="N27" s="689" t="s">
        <v>945</v>
      </c>
      <c r="O27" s="653" t="s">
        <v>83</v>
      </c>
      <c r="P27" s="669">
        <v>11.816895931157225</v>
      </c>
      <c r="Q27" s="649">
        <v>20.699954733333332</v>
      </c>
      <c r="R27" s="696">
        <f t="shared" si="0"/>
        <v>6.4585193750717521E-4</v>
      </c>
      <c r="S27" s="696">
        <f t="shared" si="1"/>
        <v>0.75172522919106322</v>
      </c>
      <c r="T27" s="697">
        <f t="shared" si="2"/>
        <v>4.7396393134555861E-2</v>
      </c>
      <c r="U27" s="558">
        <f t="shared" si="3"/>
        <v>4.5489214340926882E-4</v>
      </c>
      <c r="V27" s="701">
        <f t="shared" si="4"/>
        <v>2.6439891225862114E-3</v>
      </c>
      <c r="W27" s="703">
        <f t="shared" si="7"/>
        <v>0.99181175058278725</v>
      </c>
    </row>
    <row r="28" spans="1:23" ht="19.5">
      <c r="A28" s="185">
        <v>17</v>
      </c>
      <c r="B28" s="673" t="s">
        <v>110</v>
      </c>
      <c r="C28" s="651" t="s">
        <v>315</v>
      </c>
      <c r="D28" s="652" t="s">
        <v>922</v>
      </c>
      <c r="E28" s="653" t="s">
        <v>84</v>
      </c>
      <c r="F28" s="669">
        <v>30.636483017911591</v>
      </c>
      <c r="G28" s="669">
        <v>30.636483017911591</v>
      </c>
      <c r="H28" s="699">
        <v>35.698131088212122</v>
      </c>
      <c r="I28" s="654">
        <v>35.698131088212122</v>
      </c>
      <c r="J28" s="647">
        <f t="shared" si="5"/>
        <v>1.8627902749267775E-3</v>
      </c>
      <c r="K28" s="676">
        <f t="shared" si="6"/>
        <v>0.99345548711471232</v>
      </c>
      <c r="L28" s="681"/>
      <c r="M28" s="691" t="s">
        <v>110</v>
      </c>
      <c r="N28" s="692" t="s">
        <v>923</v>
      </c>
      <c r="O28" s="653" t="s">
        <v>84</v>
      </c>
      <c r="P28" s="669">
        <v>13.627102028693571</v>
      </c>
      <c r="Q28" s="699">
        <v>8.2268061215544748</v>
      </c>
      <c r="R28" s="696">
        <f t="shared" si="0"/>
        <v>7.4478867370187741E-4</v>
      </c>
      <c r="S28" s="696">
        <f t="shared" si="1"/>
        <v>-0.39629085448748358</v>
      </c>
      <c r="T28" s="697">
        <f t="shared" si="2"/>
        <v>4.7396393134555861E-2</v>
      </c>
      <c r="U28" s="558">
        <f t="shared" si="3"/>
        <v>3.3045323669485521E-4</v>
      </c>
      <c r="V28" s="701">
        <f t="shared" si="4"/>
        <v>1.9207075259563631E-3</v>
      </c>
      <c r="W28" s="703">
        <f t="shared" si="7"/>
        <v>0.99373245810874367</v>
      </c>
    </row>
    <row r="29" spans="1:23" ht="31">
      <c r="A29" s="185">
        <v>18</v>
      </c>
      <c r="B29" s="674" t="s">
        <v>127</v>
      </c>
      <c r="C29" s="660" t="s">
        <v>315</v>
      </c>
      <c r="D29" s="661" t="s">
        <v>937</v>
      </c>
      <c r="E29" s="662" t="s">
        <v>85</v>
      </c>
      <c r="F29" s="669">
        <v>27.372066485314367</v>
      </c>
      <c r="G29" s="669">
        <v>27.372066485314367</v>
      </c>
      <c r="H29" s="700">
        <v>33.425476214853134</v>
      </c>
      <c r="I29" s="663">
        <v>33.425476214853134</v>
      </c>
      <c r="J29" s="647">
        <f t="shared" si="5"/>
        <v>1.7441992095878975E-3</v>
      </c>
      <c r="K29" s="676">
        <f t="shared" si="6"/>
        <v>0.99519968632430023</v>
      </c>
      <c r="L29" s="681"/>
      <c r="M29" s="691" t="s">
        <v>110</v>
      </c>
      <c r="N29" s="692" t="s">
        <v>925</v>
      </c>
      <c r="O29" s="662" t="s">
        <v>84</v>
      </c>
      <c r="P29" s="669">
        <v>61.852590300751878</v>
      </c>
      <c r="Q29" s="699">
        <v>70.168186724707212</v>
      </c>
      <c r="R29" s="696">
        <f t="shared" si="0"/>
        <v>3.3805506554601653E-3</v>
      </c>
      <c r="S29" s="696">
        <f t="shared" si="1"/>
        <v>0.13444216941475853</v>
      </c>
      <c r="T29" s="697">
        <f t="shared" si="2"/>
        <v>4.7396393134555861E-2</v>
      </c>
      <c r="U29" s="558">
        <f t="shared" si="3"/>
        <v>2.9426265605907804E-4</v>
      </c>
      <c r="V29" s="701">
        <f t="shared" si="4"/>
        <v>1.7103554613462177E-3</v>
      </c>
      <c r="W29" s="703">
        <f t="shared" si="7"/>
        <v>0.9954428135700899</v>
      </c>
    </row>
    <row r="30" spans="1:23" ht="31">
      <c r="A30" s="185">
        <v>19</v>
      </c>
      <c r="B30" s="673" t="s">
        <v>110</v>
      </c>
      <c r="C30" s="651" t="s">
        <v>315</v>
      </c>
      <c r="D30" s="652" t="s">
        <v>924</v>
      </c>
      <c r="E30" s="653" t="s">
        <v>84</v>
      </c>
      <c r="F30" s="669">
        <v>21.112469424191435</v>
      </c>
      <c r="G30" s="669">
        <v>21.112469424191435</v>
      </c>
      <c r="H30" s="699">
        <v>24.598819285727156</v>
      </c>
      <c r="I30" s="654">
        <v>24.598819285727156</v>
      </c>
      <c r="J30" s="647">
        <f t="shared" si="5"/>
        <v>1.2836089717667273E-3</v>
      </c>
      <c r="K30" s="676">
        <f t="shared" si="6"/>
        <v>0.99648329529606694</v>
      </c>
      <c r="L30" s="681"/>
      <c r="M30" s="693" t="s">
        <v>127</v>
      </c>
      <c r="N30" s="694" t="s">
        <v>937</v>
      </c>
      <c r="O30" s="653" t="s">
        <v>85</v>
      </c>
      <c r="P30" s="669">
        <v>27.372066485314367</v>
      </c>
      <c r="Q30" s="700">
        <v>33.425476214853134</v>
      </c>
      <c r="R30" s="696">
        <f t="shared" si="0"/>
        <v>1.4960191133192343E-3</v>
      </c>
      <c r="S30" s="696">
        <f t="shared" si="1"/>
        <v>0.2211528213548121</v>
      </c>
      <c r="T30" s="697">
        <f t="shared" si="2"/>
        <v>4.7396393134555861E-2</v>
      </c>
      <c r="U30" s="558">
        <f t="shared" si="3"/>
        <v>2.599429376795849E-4</v>
      </c>
      <c r="V30" s="701">
        <f t="shared" si="4"/>
        <v>1.5108774896988556E-3</v>
      </c>
      <c r="W30" s="703">
        <f t="shared" si="7"/>
        <v>0.9969536910597887</v>
      </c>
    </row>
    <row r="31" spans="1:23" ht="19.5">
      <c r="A31" s="185">
        <v>20</v>
      </c>
      <c r="B31" s="672" t="s">
        <v>259</v>
      </c>
      <c r="C31" s="589" t="s">
        <v>315</v>
      </c>
      <c r="D31" s="645" t="s">
        <v>945</v>
      </c>
      <c r="E31" s="646" t="s">
        <v>83</v>
      </c>
      <c r="F31" s="669">
        <v>11.816895931157225</v>
      </c>
      <c r="G31" s="669">
        <v>11.816895931157225</v>
      </c>
      <c r="H31" s="649">
        <v>20.699954733333332</v>
      </c>
      <c r="I31" s="666">
        <v>20.699954733333332</v>
      </c>
      <c r="J31" s="647">
        <f t="shared" si="5"/>
        <v>1.080159470348593E-3</v>
      </c>
      <c r="K31" s="676">
        <f t="shared" si="6"/>
        <v>0.9975634547664155</v>
      </c>
      <c r="L31" s="681"/>
      <c r="M31" s="691" t="s">
        <v>110</v>
      </c>
      <c r="N31" s="692" t="s">
        <v>922</v>
      </c>
      <c r="O31" s="646" t="s">
        <v>84</v>
      </c>
      <c r="P31" s="669">
        <v>30.636483017911591</v>
      </c>
      <c r="Q31" s="699">
        <v>35.698131088212122</v>
      </c>
      <c r="R31" s="696">
        <f t="shared" si="0"/>
        <v>1.6744356581285533E-3</v>
      </c>
      <c r="S31" s="696">
        <f t="shared" si="1"/>
        <v>0.16521635552426966</v>
      </c>
      <c r="T31" s="697">
        <f t="shared" si="2"/>
        <v>4.7396393134555861E-2</v>
      </c>
      <c r="U31" s="558">
        <f t="shared" si="3"/>
        <v>1.9728194626470185E-4</v>
      </c>
      <c r="V31" s="701">
        <f t="shared" si="4"/>
        <v>1.1466703207868171E-3</v>
      </c>
      <c r="W31" s="703">
        <f t="shared" si="7"/>
        <v>0.99810036138057556</v>
      </c>
    </row>
    <row r="32" spans="1:23" ht="31">
      <c r="A32" s="185">
        <v>21</v>
      </c>
      <c r="B32" s="674" t="s">
        <v>127</v>
      </c>
      <c r="C32" s="660" t="s">
        <v>315</v>
      </c>
      <c r="D32" s="661" t="s">
        <v>933</v>
      </c>
      <c r="E32" s="662" t="s">
        <v>85</v>
      </c>
      <c r="F32" s="669">
        <v>15.840220860424377</v>
      </c>
      <c r="G32" s="669">
        <v>15.840220860424377</v>
      </c>
      <c r="H32" s="700">
        <v>18.174134537956341</v>
      </c>
      <c r="I32" s="663">
        <v>18.174134537956341</v>
      </c>
      <c r="J32" s="647">
        <f t="shared" si="5"/>
        <v>9.4835780026857096E-4</v>
      </c>
      <c r="K32" s="676">
        <f t="shared" si="6"/>
        <v>0.99851181256668409</v>
      </c>
      <c r="L32" s="681"/>
      <c r="M32" s="691" t="s">
        <v>110</v>
      </c>
      <c r="N32" s="692" t="s">
        <v>924</v>
      </c>
      <c r="O32" s="662" t="s">
        <v>84</v>
      </c>
      <c r="P32" s="669">
        <v>21.112469424191435</v>
      </c>
      <c r="Q32" s="699">
        <v>24.598819285727156</v>
      </c>
      <c r="R32" s="696">
        <f t="shared" si="0"/>
        <v>1.1539011058921723E-3</v>
      </c>
      <c r="S32" s="696">
        <f t="shared" si="1"/>
        <v>0.16513226337895534</v>
      </c>
      <c r="T32" s="697">
        <f t="shared" si="2"/>
        <v>4.7396393134555861E-2</v>
      </c>
      <c r="U32" s="558">
        <f t="shared" si="3"/>
        <v>1.3585555087818987E-4</v>
      </c>
      <c r="V32" s="701">
        <f t="shared" si="4"/>
        <v>7.896390473416398E-4</v>
      </c>
      <c r="W32" s="703">
        <f t="shared" si="7"/>
        <v>0.9988900004279172</v>
      </c>
    </row>
    <row r="33" spans="1:23" ht="31">
      <c r="A33" s="185">
        <v>22</v>
      </c>
      <c r="B33" s="672" t="s">
        <v>110</v>
      </c>
      <c r="C33" s="657" t="s">
        <v>315</v>
      </c>
      <c r="D33" s="655" t="s">
        <v>930</v>
      </c>
      <c r="E33" s="658" t="s">
        <v>85</v>
      </c>
      <c r="F33" s="669">
        <v>9.2865412630194708</v>
      </c>
      <c r="G33" s="669">
        <v>9.2865412630194708</v>
      </c>
      <c r="H33" s="698">
        <v>10.53504401677948</v>
      </c>
      <c r="I33" s="659">
        <v>10.53504401677948</v>
      </c>
      <c r="J33" s="647">
        <f t="shared" si="5"/>
        <v>5.4973683333418486E-4</v>
      </c>
      <c r="K33" s="676">
        <f t="shared" si="6"/>
        <v>0.99906154940001823</v>
      </c>
      <c r="L33" s="681"/>
      <c r="M33" s="693" t="s">
        <v>127</v>
      </c>
      <c r="N33" s="694" t="s">
        <v>933</v>
      </c>
      <c r="O33" s="658" t="s">
        <v>85</v>
      </c>
      <c r="P33" s="669">
        <v>15.840220860424377</v>
      </c>
      <c r="Q33" s="700">
        <v>18.174134537956341</v>
      </c>
      <c r="R33" s="696">
        <f t="shared" si="0"/>
        <v>8.6574658800814156E-4</v>
      </c>
      <c r="S33" s="696">
        <f t="shared" si="1"/>
        <v>0.14734098079169305</v>
      </c>
      <c r="T33" s="697">
        <f t="shared" si="2"/>
        <v>4.7396393134555861E-2</v>
      </c>
      <c r="U33" s="558">
        <f t="shared" si="3"/>
        <v>8.6526685754047139E-5</v>
      </c>
      <c r="V33" s="701">
        <f t="shared" si="4"/>
        <v>5.029227680929748E-4</v>
      </c>
      <c r="W33" s="703">
        <f t="shared" si="7"/>
        <v>0.99939292319601014</v>
      </c>
    </row>
    <row r="34" spans="1:23" ht="24" customHeight="1">
      <c r="A34" s="185">
        <v>23</v>
      </c>
      <c r="B34" s="673" t="s">
        <v>110</v>
      </c>
      <c r="C34" s="651" t="s">
        <v>315</v>
      </c>
      <c r="D34" s="652" t="s">
        <v>923</v>
      </c>
      <c r="E34" s="653" t="s">
        <v>84</v>
      </c>
      <c r="F34" s="669">
        <v>13.627102028693571</v>
      </c>
      <c r="G34" s="669">
        <v>13.627102028693571</v>
      </c>
      <c r="H34" s="699">
        <v>8.2268061215544748</v>
      </c>
      <c r="I34" s="654">
        <v>8.2268061215544748</v>
      </c>
      <c r="J34" s="647">
        <f t="shared" si="5"/>
        <v>4.2928898431885033E-4</v>
      </c>
      <c r="K34" s="676">
        <f t="shared" si="6"/>
        <v>0.99949083838433705</v>
      </c>
      <c r="L34" s="681"/>
      <c r="M34" s="688" t="s">
        <v>110</v>
      </c>
      <c r="N34" s="690" t="s">
        <v>930</v>
      </c>
      <c r="O34" s="653" t="s">
        <v>85</v>
      </c>
      <c r="P34" s="669">
        <v>9.2865412630194708</v>
      </c>
      <c r="Q34" s="698">
        <v>10.53504401677948</v>
      </c>
      <c r="R34" s="696">
        <f t="shared" si="0"/>
        <v>5.0755551224306158E-4</v>
      </c>
      <c r="S34" s="696">
        <f t="shared" si="1"/>
        <v>0.13444216941475853</v>
      </c>
      <c r="T34" s="697">
        <f t="shared" si="2"/>
        <v>4.7396393134555861E-2</v>
      </c>
      <c r="U34" s="558">
        <f t="shared" si="3"/>
        <v>4.4180563568493204E-5</v>
      </c>
      <c r="V34" s="701">
        <f t="shared" si="4"/>
        <v>2.5679258522547723E-4</v>
      </c>
      <c r="W34" s="703">
        <f t="shared" si="7"/>
        <v>0.99964971578123563</v>
      </c>
    </row>
    <row r="35" spans="1:23" ht="25.5" customHeight="1">
      <c r="A35" s="185">
        <v>24</v>
      </c>
      <c r="B35" s="672" t="s">
        <v>110</v>
      </c>
      <c r="C35" s="657" t="s">
        <v>315</v>
      </c>
      <c r="D35" s="655" t="s">
        <v>929</v>
      </c>
      <c r="E35" s="658" t="s">
        <v>85</v>
      </c>
      <c r="F35" s="669">
        <v>3.1698238912656724</v>
      </c>
      <c r="G35" s="669">
        <v>3.1698238912656724</v>
      </c>
      <c r="H35" s="698">
        <v>3.6932640849430611</v>
      </c>
      <c r="I35" s="659">
        <v>3.6932640849430611</v>
      </c>
      <c r="J35" s="647">
        <f t="shared" si="5"/>
        <v>1.9272091312477838E-4</v>
      </c>
      <c r="K35" s="676">
        <f t="shared" si="6"/>
        <v>0.99968355929746189</v>
      </c>
      <c r="L35" s="681"/>
      <c r="M35" s="688" t="s">
        <v>110</v>
      </c>
      <c r="N35" s="690" t="s">
        <v>929</v>
      </c>
      <c r="O35" s="658" t="s">
        <v>85</v>
      </c>
      <c r="P35" s="669">
        <v>3.1698238912656724</v>
      </c>
      <c r="Q35" s="698">
        <v>3.6932640849430611</v>
      </c>
      <c r="R35" s="696">
        <f t="shared" si="0"/>
        <v>1.7324658807670338E-4</v>
      </c>
      <c r="S35" s="696">
        <f t="shared" si="1"/>
        <v>0.16513226337895553</v>
      </c>
      <c r="T35" s="697">
        <f t="shared" si="2"/>
        <v>4.7396393134555861E-2</v>
      </c>
      <c r="U35" s="558">
        <f t="shared" si="3"/>
        <v>2.0397337814083708E-5</v>
      </c>
      <c r="V35" s="701">
        <f t="shared" si="4"/>
        <v>1.1855632173807918E-4</v>
      </c>
      <c r="W35" s="703">
        <f t="shared" si="7"/>
        <v>0.9997682721029737</v>
      </c>
    </row>
    <row r="36" spans="1:23" ht="31">
      <c r="A36" s="185">
        <v>25</v>
      </c>
      <c r="B36" s="672" t="s">
        <v>110</v>
      </c>
      <c r="C36" s="657" t="s">
        <v>315</v>
      </c>
      <c r="D36" s="655" t="s">
        <v>927</v>
      </c>
      <c r="E36" s="658" t="s">
        <v>85</v>
      </c>
      <c r="F36" s="669">
        <v>3.1429009643699155</v>
      </c>
      <c r="G36" s="669">
        <v>3.1429009643699155</v>
      </c>
      <c r="H36" s="698">
        <v>3.6059790749913381</v>
      </c>
      <c r="I36" s="659">
        <v>3.6059790749913381</v>
      </c>
      <c r="J36" s="647">
        <f t="shared" si="5"/>
        <v>1.8816623021201807E-4</v>
      </c>
      <c r="K36" s="676">
        <f t="shared" si="6"/>
        <v>0.99987172552767389</v>
      </c>
      <c r="L36" s="681"/>
      <c r="M36" s="688" t="s">
        <v>110</v>
      </c>
      <c r="N36" s="690" t="s">
        <v>927</v>
      </c>
      <c r="O36" s="658" t="s">
        <v>85</v>
      </c>
      <c r="P36" s="669">
        <v>3.1429009643699155</v>
      </c>
      <c r="Q36" s="698">
        <v>3.6059790749913381</v>
      </c>
      <c r="R36" s="696">
        <f t="shared" si="0"/>
        <v>1.7177511666828201E-4</v>
      </c>
      <c r="S36" s="696">
        <f t="shared" si="1"/>
        <v>0.14734098079169347</v>
      </c>
      <c r="T36" s="697">
        <f t="shared" si="2"/>
        <v>4.7396393134555861E-2</v>
      </c>
      <c r="U36" s="558">
        <f t="shared" si="3"/>
        <v>1.7167993205168151E-5</v>
      </c>
      <c r="V36" s="701">
        <f t="shared" si="4"/>
        <v>9.9786263510511259E-5</v>
      </c>
      <c r="W36" s="703">
        <f t="shared" si="7"/>
        <v>0.99986805836648418</v>
      </c>
    </row>
    <row r="37" spans="1:23" ht="31">
      <c r="A37" s="185">
        <v>26</v>
      </c>
      <c r="B37" s="674" t="s">
        <v>127</v>
      </c>
      <c r="C37" s="660" t="s">
        <v>315</v>
      </c>
      <c r="D37" s="661" t="s">
        <v>936</v>
      </c>
      <c r="E37" s="662" t="s">
        <v>85</v>
      </c>
      <c r="F37" s="669">
        <v>1.3929811894529205</v>
      </c>
      <c r="G37" s="669">
        <v>1.3929811894529205</v>
      </c>
      <c r="H37" s="700">
        <v>1.5802566025169225</v>
      </c>
      <c r="I37" s="663">
        <v>1.5802566025169225</v>
      </c>
      <c r="J37" s="647">
        <f t="shared" si="5"/>
        <v>8.2460525000127756E-5</v>
      </c>
      <c r="K37" s="676">
        <f t="shared" si="6"/>
        <v>0.99995418605267405</v>
      </c>
      <c r="L37" s="681"/>
      <c r="M37" s="693" t="s">
        <v>127</v>
      </c>
      <c r="N37" s="694" t="s">
        <v>934</v>
      </c>
      <c r="O37" s="662" t="s">
        <v>85</v>
      </c>
      <c r="P37" s="669">
        <v>0.53664829761257671</v>
      </c>
      <c r="Q37" s="700">
        <v>0.3239794851924353</v>
      </c>
      <c r="R37" s="696">
        <f t="shared" si="0"/>
        <v>2.9330489562758458E-5</v>
      </c>
      <c r="S37" s="696">
        <f t="shared" si="1"/>
        <v>-0.39629085448748358</v>
      </c>
      <c r="T37" s="697">
        <f t="shared" si="2"/>
        <v>4.7396393134555861E-2</v>
      </c>
      <c r="U37" s="558">
        <f t="shared" si="3"/>
        <v>1.3013564185507254E-5</v>
      </c>
      <c r="V37" s="701">
        <f t="shared" si="4"/>
        <v>7.5639297471009209E-5</v>
      </c>
      <c r="W37" s="703">
        <f t="shared" si="7"/>
        <v>0.99994369766395519</v>
      </c>
    </row>
    <row r="38" spans="1:23" ht="31">
      <c r="A38" s="185">
        <v>27</v>
      </c>
      <c r="B38" s="674" t="s">
        <v>127</v>
      </c>
      <c r="C38" s="660" t="s">
        <v>315</v>
      </c>
      <c r="D38" s="661" t="s">
        <v>935</v>
      </c>
      <c r="E38" s="662" t="s">
        <v>85</v>
      </c>
      <c r="F38" s="669">
        <v>0.47547358368985093</v>
      </c>
      <c r="G38" s="669">
        <v>0.47547358368985093</v>
      </c>
      <c r="H38" s="700">
        <v>0.55398961274145919</v>
      </c>
      <c r="I38" s="663">
        <v>0.55398961274145919</v>
      </c>
      <c r="J38" s="647">
        <f t="shared" si="5"/>
        <v>2.8908136968716756E-5</v>
      </c>
      <c r="K38" s="676">
        <f t="shared" si="6"/>
        <v>0.99998309418964282</v>
      </c>
      <c r="L38" s="681"/>
      <c r="M38" s="693" t="s">
        <v>127</v>
      </c>
      <c r="N38" s="694" t="s">
        <v>936</v>
      </c>
      <c r="O38" s="662" t="s">
        <v>85</v>
      </c>
      <c r="P38" s="669">
        <v>1.3929811894529205</v>
      </c>
      <c r="Q38" s="700">
        <v>1.5802566025169225</v>
      </c>
      <c r="R38" s="696">
        <f t="shared" si="0"/>
        <v>7.6133326836459235E-5</v>
      </c>
      <c r="S38" s="696">
        <f t="shared" si="1"/>
        <v>0.13444216941475895</v>
      </c>
      <c r="T38" s="697">
        <f t="shared" si="2"/>
        <v>4.7396393134555861E-2</v>
      </c>
      <c r="U38" s="558">
        <f t="shared" si="3"/>
        <v>6.6270845352740126E-6</v>
      </c>
      <c r="V38" s="701">
        <f t="shared" si="4"/>
        <v>3.8518887783821771E-5</v>
      </c>
      <c r="W38" s="703">
        <f t="shared" si="7"/>
        <v>0.99998221655173902</v>
      </c>
    </row>
    <row r="39" spans="1:23" ht="31">
      <c r="A39" s="185">
        <v>28</v>
      </c>
      <c r="B39" s="674" t="s">
        <v>127</v>
      </c>
      <c r="C39" s="660" t="s">
        <v>315</v>
      </c>
      <c r="D39" s="661" t="s">
        <v>934</v>
      </c>
      <c r="E39" s="662" t="s">
        <v>85</v>
      </c>
      <c r="F39" s="669">
        <v>0.53664829761257671</v>
      </c>
      <c r="G39" s="669">
        <v>0.53664829761257671</v>
      </c>
      <c r="H39" s="700">
        <v>0.3239794851924353</v>
      </c>
      <c r="I39" s="663">
        <v>0.3239794851924353</v>
      </c>
      <c r="J39" s="647">
        <f t="shared" si="5"/>
        <v>1.690581035743734E-5</v>
      </c>
      <c r="K39" s="676">
        <f t="shared" si="6"/>
        <v>1.0000000000000002</v>
      </c>
      <c r="L39" s="681"/>
      <c r="M39" s="693" t="s">
        <v>127</v>
      </c>
      <c r="N39" s="694" t="s">
        <v>935</v>
      </c>
      <c r="O39" s="662" t="s">
        <v>85</v>
      </c>
      <c r="P39" s="669">
        <v>0.47547358368985093</v>
      </c>
      <c r="Q39" s="700">
        <v>0.55398961274145919</v>
      </c>
      <c r="R39" s="696">
        <f t="shared" si="0"/>
        <v>2.5986988211505514E-5</v>
      </c>
      <c r="S39" s="696">
        <f t="shared" si="1"/>
        <v>0.1651322633789554</v>
      </c>
      <c r="T39" s="697">
        <f t="shared" si="2"/>
        <v>4.7396393134555861E-2</v>
      </c>
      <c r="U39" s="558">
        <f t="shared" si="3"/>
        <v>3.0596006721125535E-6</v>
      </c>
      <c r="V39" s="701">
        <f t="shared" si="4"/>
        <v>1.7783448260711863E-5</v>
      </c>
      <c r="W39" s="703">
        <f t="shared" si="7"/>
        <v>0.99999999999999978</v>
      </c>
    </row>
    <row r="40" spans="1:23" ht="31">
      <c r="A40" s="185">
        <v>29</v>
      </c>
      <c r="B40" s="672" t="s">
        <v>110</v>
      </c>
      <c r="C40" s="657" t="s">
        <v>315</v>
      </c>
      <c r="D40" s="655" t="s">
        <v>928</v>
      </c>
      <c r="E40" s="658" t="s">
        <v>85</v>
      </c>
      <c r="F40" s="669">
        <v>0</v>
      </c>
      <c r="G40" s="669">
        <v>0</v>
      </c>
      <c r="H40" s="698">
        <v>0</v>
      </c>
      <c r="I40" s="659">
        <v>0</v>
      </c>
      <c r="J40" s="647">
        <f t="shared" si="5"/>
        <v>0</v>
      </c>
      <c r="K40" s="676">
        <f t="shared" si="6"/>
        <v>1.0000000000000002</v>
      </c>
      <c r="L40" s="681"/>
      <c r="M40" s="688" t="s">
        <v>110</v>
      </c>
      <c r="N40" s="690" t="s">
        <v>928</v>
      </c>
      <c r="O40" s="658" t="s">
        <v>85</v>
      </c>
      <c r="P40" s="669">
        <v>0</v>
      </c>
      <c r="Q40" s="698">
        <v>0</v>
      </c>
      <c r="R40" s="696">
        <f t="shared" si="0"/>
        <v>0</v>
      </c>
      <c r="S40" s="696">
        <v>0</v>
      </c>
      <c r="T40" s="697">
        <f t="shared" si="2"/>
        <v>4.7396393134555861E-2</v>
      </c>
      <c r="U40" s="558">
        <f t="shared" si="3"/>
        <v>0</v>
      </c>
      <c r="V40" s="701">
        <f t="shared" si="4"/>
        <v>0</v>
      </c>
      <c r="W40" s="703">
        <f t="shared" si="7"/>
        <v>0.99999999999999978</v>
      </c>
    </row>
    <row r="41" spans="1:23" ht="16.5">
      <c r="B41" s="590"/>
      <c r="C41" s="591"/>
      <c r="D41" s="592"/>
      <c r="E41" s="593"/>
      <c r="F41" s="593"/>
      <c r="G41" s="593"/>
      <c r="H41" s="594"/>
      <c r="I41" s="594"/>
      <c r="J41" s="594"/>
      <c r="K41" s="594"/>
      <c r="L41" s="682"/>
      <c r="M41" s="682"/>
      <c r="P41" s="593"/>
      <c r="Q41" s="594"/>
    </row>
    <row r="42" spans="1:23" ht="17">
      <c r="B42" s="571"/>
      <c r="C42" s="595"/>
      <c r="D42" s="596" t="s">
        <v>851</v>
      </c>
      <c r="E42" s="597"/>
      <c r="F42" s="598">
        <f>SUM(F12:F40)</f>
        <v>18296.602123340293</v>
      </c>
      <c r="G42" s="598">
        <f>SUM(G12:G40)</f>
        <v>18876.438650356926</v>
      </c>
      <c r="H42" s="598">
        <f>SUM(H12:H40)</f>
        <v>19163.795070604683</v>
      </c>
      <c r="I42" s="598">
        <f>SUM(I12:I40)</f>
        <v>19327.686323806629</v>
      </c>
      <c r="J42" s="598">
        <f>SUM(J12:J40)</f>
        <v>1.0000000000000002</v>
      </c>
      <c r="K42" s="599"/>
      <c r="L42" s="683"/>
      <c r="M42" s="683"/>
      <c r="N42"/>
      <c r="O42"/>
      <c r="P42" s="598">
        <f>SUM(P12:P40)</f>
        <v>18296.602123340293</v>
      </c>
      <c r="Q42" s="598">
        <f>SUM(Q12:Q40)</f>
        <v>19163.795070604679</v>
      </c>
      <c r="R42" s="685">
        <f>SUM(R12:R41)</f>
        <v>1</v>
      </c>
      <c r="S42" s="685">
        <f>SUM(S12:S41)</f>
        <v>3.8354439946674637</v>
      </c>
      <c r="T42" s="685">
        <f>SUM(T12:T41)</f>
        <v>1.3744954009021197</v>
      </c>
      <c r="U42" s="685">
        <f>SUM(U12:U41)</f>
        <v>0.17204766068187044</v>
      </c>
    </row>
    <row r="43" spans="1:23" ht="16.5">
      <c r="B43" s="571"/>
      <c r="C43" s="600"/>
      <c r="D43" s="600"/>
      <c r="E43" s="600"/>
      <c r="F43" s="600"/>
      <c r="G43" s="600"/>
      <c r="H43" s="601"/>
      <c r="I43" s="601"/>
      <c r="J43" s="604"/>
      <c r="K43" s="600"/>
      <c r="L43" s="684"/>
      <c r="M43" s="684"/>
      <c r="N43"/>
      <c r="O43"/>
      <c r="P43" s="600"/>
      <c r="Q43" s="601"/>
      <c r="R43"/>
      <c r="S43"/>
    </row>
    <row r="44" spans="1:23">
      <c r="B44" s="571"/>
      <c r="C44" s="571"/>
      <c r="D44" s="571"/>
      <c r="E44" s="571"/>
      <c r="F44" s="571"/>
      <c r="G44" s="571"/>
      <c r="H44" s="572"/>
      <c r="I44" s="572"/>
      <c r="J44" s="571"/>
      <c r="K44" s="571"/>
      <c r="N44"/>
      <c r="O44"/>
      <c r="P44" s="571"/>
      <c r="Q44" s="572"/>
      <c r="R44"/>
      <c r="S44"/>
    </row>
    <row r="45" spans="1:23">
      <c r="B45" s="571"/>
      <c r="C45" s="571"/>
      <c r="D45" s="571"/>
      <c r="E45" s="571"/>
      <c r="F45" s="571"/>
      <c r="G45" s="571"/>
      <c r="H45" s="572"/>
      <c r="I45" s="572"/>
      <c r="J45" s="571"/>
      <c r="K45" s="571"/>
      <c r="N45"/>
      <c r="O45"/>
      <c r="P45" s="571"/>
      <c r="Q45" s="572"/>
      <c r="R45"/>
      <c r="S45"/>
    </row>
    <row r="46" spans="1:23">
      <c r="B46" s="571"/>
      <c r="C46" s="571"/>
      <c r="D46" s="571"/>
      <c r="E46" s="571"/>
      <c r="F46" s="571"/>
      <c r="G46" s="571"/>
      <c r="H46" s="572"/>
      <c r="I46" s="572"/>
      <c r="J46" s="571"/>
      <c r="K46" s="571"/>
      <c r="N46"/>
      <c r="O46"/>
      <c r="P46" s="571"/>
      <c r="Q46" s="572"/>
      <c r="R46"/>
      <c r="S46"/>
    </row>
    <row r="47" spans="1:23">
      <c r="B47" s="571"/>
      <c r="C47" s="571"/>
      <c r="D47" s="571"/>
      <c r="E47" s="571"/>
      <c r="F47" s="571"/>
      <c r="G47" s="571"/>
      <c r="H47" s="572"/>
      <c r="I47" s="572"/>
      <c r="J47" s="571"/>
      <c r="K47" s="571"/>
      <c r="N47"/>
      <c r="O47"/>
      <c r="P47" s="571"/>
      <c r="Q47" s="572"/>
      <c r="R47"/>
      <c r="S47"/>
    </row>
    <row r="48" spans="1:23">
      <c r="B48" s="571"/>
      <c r="C48" s="571"/>
      <c r="D48" s="571"/>
      <c r="E48" s="571"/>
      <c r="F48" s="571"/>
      <c r="G48" s="571"/>
      <c r="H48" s="572"/>
      <c r="I48" s="572"/>
      <c r="J48" s="571"/>
      <c r="K48" s="571"/>
      <c r="N48"/>
      <c r="O48"/>
      <c r="P48" s="571"/>
      <c r="Q48" s="572"/>
      <c r="R48"/>
      <c r="S48"/>
    </row>
    <row r="49" spans="2:19">
      <c r="B49" s="571"/>
      <c r="C49" s="571"/>
      <c r="D49" s="571"/>
      <c r="E49" s="571"/>
      <c r="F49" s="571"/>
      <c r="G49" s="571"/>
      <c r="H49" s="572"/>
      <c r="I49" s="572"/>
      <c r="J49" s="571"/>
      <c r="K49" s="571"/>
      <c r="N49"/>
      <c r="O49"/>
      <c r="P49" s="571"/>
      <c r="Q49" s="572"/>
      <c r="R49"/>
      <c r="S49"/>
    </row>
    <row r="50" spans="2:19">
      <c r="B50" s="571"/>
      <c r="C50" s="571"/>
      <c r="D50" s="571"/>
      <c r="E50" s="571"/>
      <c r="F50" s="571"/>
      <c r="G50" s="571"/>
      <c r="H50" s="572"/>
      <c r="I50" s="572"/>
      <c r="J50" s="571"/>
      <c r="K50" s="571"/>
      <c r="N50"/>
      <c r="O50"/>
      <c r="P50" s="571"/>
      <c r="Q50" s="572"/>
      <c r="R50"/>
      <c r="S50"/>
    </row>
  </sheetData>
  <mergeCells count="8">
    <mergeCell ref="R9:T9"/>
    <mergeCell ref="M8:W8"/>
    <mergeCell ref="B4:K4"/>
    <mergeCell ref="B5:K5"/>
    <mergeCell ref="B6:K6"/>
    <mergeCell ref="B8:K8"/>
    <mergeCell ref="F9:G9"/>
    <mergeCell ref="H9:I9"/>
  </mergeCells>
  <conditionalFormatting sqref="K11:K40">
    <cfRule type="cellIs" dxfId="3" priority="4" operator="lessThan">
      <formula>0.96</formula>
    </cfRule>
  </conditionalFormatting>
  <conditionalFormatting sqref="R11:W11">
    <cfRule type="cellIs" dxfId="2" priority="3" operator="lessThan">
      <formula>0.96</formula>
    </cfRule>
  </conditionalFormatting>
  <conditionalFormatting sqref="W12:W40">
    <cfRule type="cellIs" dxfId="1" priority="1" stopIfTrue="1" operator="lessThan">
      <formula>0.96</formula>
    </cfRule>
    <cfRule type="cellIs" dxfId="0" priority="2" stopIfTrue="1" operator="lessThan">
      <formula>0.95</formula>
    </cfRule>
  </conditionalFormatting>
  <hyperlinks>
    <hyperlink ref="I2" location="INDICE!A1" display="INDICE" xr:uid="{00000000-0004-0000-1A00-000000000000}"/>
    <hyperlink ref="Q3" location="INDICE!A1" display="INDICE" xr:uid="{00000000-0004-0000-1A00-000001000000}"/>
  </hyperlink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D26372-B700-4282-9339-20223172D509}"/>
</file>

<file path=customXml/itemProps2.xml><?xml version="1.0" encoding="utf-8"?>
<ds:datastoreItem xmlns:ds="http://schemas.openxmlformats.org/officeDocument/2006/customXml" ds:itemID="{A2666A97-6F4E-4647-9F18-E0546C0479C6}">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B986BA6-830B-442B-893E-0E5338E39B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34</TotalTime>
  <Application>Microsoft Excel</Application>
  <DocSecurity>0</DocSecurity>
  <ScaleCrop>false</ScaleCrop>
  <HeadingPairs>
    <vt:vector size="4" baseType="variant">
      <vt:variant>
        <vt:lpstr>Worksheets</vt:lpstr>
      </vt:variant>
      <vt:variant>
        <vt:i4>37</vt:i4>
      </vt:variant>
      <vt:variant>
        <vt:lpstr>Named Ranges</vt:lpstr>
      </vt:variant>
      <vt:variant>
        <vt:i4>13</vt:i4>
      </vt:variant>
    </vt:vector>
  </HeadingPairs>
  <TitlesOfParts>
    <vt:vector size="50" baseType="lpstr">
      <vt:lpstr>INDICE</vt:lpstr>
      <vt:lpstr>Presentación</vt:lpstr>
      <vt:lpstr>Datos de Actividad</vt:lpstr>
      <vt:lpstr>3A1 Fermentación E.</vt:lpstr>
      <vt:lpstr>3B Manejo de Estiércol CH4</vt:lpstr>
      <vt:lpstr>3B Gestión Estiércol N2O Dir</vt:lpstr>
      <vt:lpstr>3B Gestión Estiércol N2O Ind</vt:lpstr>
      <vt:lpstr>3C7 Arroz</vt:lpstr>
      <vt:lpstr>3C4 Suelos Agricolas N2O Direct</vt:lpstr>
      <vt:lpstr>Anexo 3C4</vt:lpstr>
      <vt:lpstr>3C5 Suelos Agricolas N2O Indire</vt:lpstr>
      <vt:lpstr>3C2 Encalado</vt:lpstr>
      <vt:lpstr>Hoja2</vt:lpstr>
      <vt:lpstr>3C3 UREA</vt:lpstr>
      <vt:lpstr>Cultivos</vt:lpstr>
      <vt:lpstr>Residuos Agricolas</vt:lpstr>
      <vt:lpstr>3C1 Quema de biomasa</vt:lpstr>
      <vt:lpstr>Hoja1</vt:lpstr>
      <vt:lpstr>Incertidumbre</vt:lpstr>
      <vt:lpstr>Cat. Principales (formula)</vt:lpstr>
      <vt:lpstr>RESULTADOS</vt:lpstr>
      <vt:lpstr>Calculation (table 3.2)</vt:lpstr>
      <vt:lpstr>Reporting (table 3.3)</vt:lpstr>
      <vt:lpstr>Reporting summary by sector</vt:lpstr>
      <vt:lpstr>Cat. Principales Desagregad (2)</vt:lpstr>
      <vt:lpstr>Table3</vt:lpstr>
      <vt:lpstr>Table3.A</vt:lpstr>
      <vt:lpstr>Table3.B(a)</vt:lpstr>
      <vt:lpstr>Table3.B(b)</vt:lpstr>
      <vt:lpstr>Table3.C</vt:lpstr>
      <vt:lpstr>Table3.D</vt:lpstr>
      <vt:lpstr>Table3.F</vt:lpstr>
      <vt:lpstr>Table3.G-J</vt:lpstr>
      <vt:lpstr>Summary1</vt:lpstr>
      <vt:lpstr>Summary2</vt:lpstr>
      <vt:lpstr>Summary3</vt:lpstr>
      <vt:lpstr>Cat. Principales Desagregado</vt:lpstr>
      <vt:lpstr>Summary1!Print_Area</vt:lpstr>
      <vt:lpstr>Summary2!Print_Area</vt:lpstr>
      <vt:lpstr>Summary3!Print_Area</vt:lpstr>
      <vt:lpstr>Summary1!Print_Titles</vt:lpstr>
      <vt:lpstr>Summary3!Print_Titles</vt:lpstr>
      <vt:lpstr>Sheet51Range1</vt:lpstr>
      <vt:lpstr>Sheet51Range2</vt:lpstr>
      <vt:lpstr>Sheet51Range5</vt:lpstr>
      <vt:lpstr>Sheet52Range1</vt:lpstr>
      <vt:lpstr>Sheet52Range2</vt:lpstr>
      <vt:lpstr>Start50</vt:lpstr>
      <vt:lpstr>Start52</vt:lpstr>
      <vt:lpstr>Start54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daniel  lucero romero</dc:creator>
  <cp:lastModifiedBy>Luis Victor Gallardo</cp:lastModifiedBy>
  <cp:revision>2</cp:revision>
  <cp:lastPrinted>2024-07-18T21:52:07Z</cp:lastPrinted>
  <dcterms:created xsi:type="dcterms:W3CDTF">2018-07-25T15:59:27Z</dcterms:created>
  <dcterms:modified xsi:type="dcterms:W3CDTF">2024-12-01T04:54:30Z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