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Energy_20250619\ndc_cr_30\t1_confection\A2_Extra_Inputs\"/>
    </mc:Choice>
  </mc:AlternateContent>
  <xr:revisionPtr revIDLastSave="0" documentId="13_ncr:1_{26CDB2C1-4D92-46B4-AAA0-5BA4D5F5EA83}" xr6:coauthVersionLast="47" xr6:coauthVersionMax="47" xr10:uidLastSave="{00000000-0000-0000-0000-000000000000}"/>
  <bookViews>
    <workbookView xWindow="45" yWindow="-16320" windowWidth="29040" windowHeight="15720" xr2:uid="{00000000-000D-0000-FFFF-FFFF00000000}"/>
  </bookViews>
  <sheets>
    <sheet name="GHGs" sheetId="1" r:id="rId1"/>
    <sheet name="Externalities" sheetId="2" r:id="rId2"/>
  </sheets>
  <definedNames>
    <definedName name="_xlnm._FilterDatabase" localSheetId="0" hidden="1">GHGs!$A$1:$J$282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7" i="1" l="1"/>
  <c r="C13" i="1"/>
  <c r="C8" i="1"/>
  <c r="C3" i="1"/>
  <c r="C16" i="1"/>
  <c r="C12" i="1"/>
  <c r="C7" i="1"/>
  <c r="C2" i="1"/>
  <c r="C23" i="1" l="1"/>
  <c r="C19" i="1"/>
  <c r="C15" i="1"/>
  <c r="C5" i="1"/>
  <c r="C262" i="1"/>
  <c r="C243" i="1"/>
  <c r="C207" i="1"/>
  <c r="C4" i="1" l="1"/>
  <c r="C130" i="1"/>
  <c r="C96" i="1"/>
  <c r="C247" i="1"/>
  <c r="C54" i="1"/>
  <c r="C55" i="1"/>
  <c r="C246" i="1"/>
  <c r="C244" i="1"/>
  <c r="C242" i="1"/>
  <c r="C239" i="1"/>
  <c r="C238" i="1"/>
  <c r="C237" i="1"/>
  <c r="C236" i="1"/>
  <c r="C234" i="1"/>
  <c r="C233" i="1"/>
  <c r="C230" i="1"/>
  <c r="C14" i="1"/>
  <c r="C125" i="1"/>
  <c r="C124" i="1"/>
  <c r="C123" i="1"/>
  <c r="C122" i="1"/>
  <c r="C119" i="1"/>
  <c r="C117" i="1"/>
  <c r="C115" i="1"/>
  <c r="C114" i="1"/>
  <c r="C113" i="1"/>
  <c r="C112" i="1"/>
  <c r="C111" i="1"/>
  <c r="C110" i="1"/>
  <c r="C108" i="1"/>
  <c r="C107" i="1"/>
  <c r="C106" i="1"/>
  <c r="C104" i="1"/>
  <c r="C103" i="1"/>
  <c r="C102" i="1"/>
  <c r="C101" i="1"/>
  <c r="C100" i="1"/>
  <c r="C98" i="1"/>
  <c r="C97" i="1"/>
  <c r="C95" i="1"/>
  <c r="C93" i="1"/>
  <c r="C92" i="1"/>
  <c r="C282" i="1"/>
  <c r="C281" i="1"/>
  <c r="C279" i="1"/>
  <c r="C278" i="1"/>
  <c r="C275" i="1"/>
  <c r="C274" i="1"/>
  <c r="C273" i="1"/>
  <c r="C272" i="1"/>
  <c r="C270" i="1"/>
  <c r="C269" i="1"/>
  <c r="C266" i="1"/>
  <c r="C265" i="1"/>
  <c r="C264" i="1"/>
  <c r="C261" i="1"/>
  <c r="C260" i="1"/>
  <c r="C257" i="1"/>
  <c r="C256" i="1"/>
  <c r="C255" i="1"/>
  <c r="C254" i="1"/>
  <c r="C252" i="1"/>
  <c r="C251" i="1"/>
  <c r="C248" i="1"/>
  <c r="C229" i="1"/>
  <c r="C228" i="1"/>
  <c r="C226" i="1"/>
  <c r="C224" i="1"/>
  <c r="C221" i="1"/>
  <c r="C220" i="1"/>
  <c r="C219" i="1"/>
  <c r="C218" i="1"/>
  <c r="C216" i="1"/>
  <c r="C215" i="1"/>
  <c r="C212" i="1"/>
  <c r="C211" i="1"/>
  <c r="C210" i="1"/>
  <c r="C208" i="1"/>
  <c r="C206" i="1"/>
  <c r="C203" i="1"/>
  <c r="C202" i="1"/>
  <c r="C201" i="1"/>
  <c r="C200" i="1"/>
  <c r="C198" i="1"/>
  <c r="C197" i="1"/>
  <c r="C194" i="1"/>
  <c r="C190" i="1"/>
  <c r="C187" i="1"/>
  <c r="C185" i="1"/>
  <c r="C183" i="1"/>
  <c r="C182" i="1"/>
  <c r="C181" i="1"/>
  <c r="C180" i="1"/>
  <c r="C179" i="1"/>
  <c r="C178" i="1"/>
  <c r="C174" i="1"/>
  <c r="C172" i="1"/>
  <c r="C171" i="1"/>
  <c r="C170" i="1"/>
  <c r="C168" i="1"/>
  <c r="C166" i="1"/>
  <c r="C165" i="1"/>
  <c r="C161" i="1"/>
  <c r="C160" i="1"/>
  <c r="C159" i="1"/>
  <c r="C158" i="1"/>
  <c r="C157" i="1"/>
  <c r="C156" i="1"/>
  <c r="C153" i="1"/>
  <c r="C151" i="1"/>
  <c r="C149" i="1"/>
  <c r="C148" i="1"/>
  <c r="C147" i="1"/>
  <c r="C146" i="1"/>
  <c r="C145" i="1"/>
  <c r="C144" i="1"/>
  <c r="C142" i="1"/>
  <c r="C141" i="1"/>
  <c r="C140" i="1"/>
  <c r="C138" i="1"/>
  <c r="C137" i="1"/>
  <c r="C136" i="1"/>
  <c r="C135" i="1"/>
  <c r="C134" i="1"/>
  <c r="C132" i="1"/>
  <c r="C131" i="1"/>
  <c r="C129" i="1"/>
  <c r="C127" i="1"/>
  <c r="C126" i="1"/>
  <c r="C91" i="1"/>
  <c r="C90" i="1"/>
  <c r="C89" i="1"/>
  <c r="C88" i="1"/>
  <c r="C85" i="1"/>
  <c r="C83" i="1"/>
  <c r="C81" i="1"/>
  <c r="C80" i="1"/>
  <c r="C79" i="1"/>
  <c r="C78" i="1"/>
  <c r="C77" i="1"/>
  <c r="C76" i="1"/>
  <c r="C74" i="1"/>
  <c r="C73" i="1"/>
  <c r="C72" i="1"/>
  <c r="C70" i="1"/>
  <c r="C69" i="1"/>
  <c r="C68" i="1"/>
  <c r="C67" i="1"/>
  <c r="C66" i="1"/>
  <c r="C64" i="1"/>
  <c r="C63" i="1"/>
  <c r="C62" i="1"/>
  <c r="C61" i="1"/>
  <c r="C59" i="1"/>
  <c r="C58" i="1"/>
  <c r="C57" i="1"/>
  <c r="C56" i="1"/>
  <c r="C51" i="1"/>
  <c r="C49" i="1"/>
  <c r="C47" i="1"/>
  <c r="C46" i="1"/>
  <c r="C45" i="1"/>
  <c r="C44" i="1"/>
  <c r="C43" i="1"/>
  <c r="C42" i="1"/>
  <c r="C40" i="1"/>
  <c r="C39" i="1"/>
  <c r="C38" i="1"/>
  <c r="C36" i="1"/>
  <c r="C35" i="1"/>
  <c r="C34" i="1"/>
  <c r="C33" i="1"/>
  <c r="C32" i="1"/>
  <c r="C30" i="1"/>
  <c r="C29" i="1"/>
  <c r="C28" i="1"/>
  <c r="C27" i="1"/>
  <c r="C25" i="1"/>
  <c r="C24" i="1"/>
  <c r="C22" i="1"/>
  <c r="C21" i="1"/>
  <c r="C20" i="1"/>
  <c r="C18" i="1"/>
  <c r="C11" i="1"/>
  <c r="C6" i="1"/>
  <c r="C9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Susana Solorzano Jiménez</author>
  </authors>
  <commentList>
    <comment ref="A207" authorId="0" shapeId="0" xr:uid="{71160D36-8076-4A1B-95FB-F3106095535E}">
      <text>
        <r>
          <rPr>
            <b/>
            <sz val="9"/>
            <color indexed="81"/>
            <rFont val="Tahoma"/>
            <family val="2"/>
          </rPr>
          <t>Funciona como biometano</t>
        </r>
      </text>
    </comment>
    <comment ref="A225" authorId="0" shapeId="0" xr:uid="{9208AD88-CA63-4E9B-B35B-74EFE1A8EF78}">
      <text>
        <r>
          <rPr>
            <b/>
            <sz val="9"/>
            <color indexed="81"/>
            <rFont val="Tahoma"/>
            <family val="2"/>
          </rPr>
          <t>Funciona como biometano</t>
        </r>
      </text>
    </comment>
    <comment ref="A243" authorId="0" shapeId="0" xr:uid="{945A5E95-B7E2-491C-8D90-A7B8B3649FD0}">
      <text>
        <r>
          <rPr>
            <b/>
            <sz val="9"/>
            <color indexed="81"/>
            <rFont val="Tahoma"/>
            <family val="2"/>
          </rPr>
          <t>Funciona como biometano</t>
        </r>
      </text>
    </comment>
    <comment ref="A262" authorId="0" shapeId="0" xr:uid="{1ECBBAD2-5C44-489F-BFB8-6CD980A7BF38}">
      <text>
        <r>
          <rPr>
            <b/>
            <sz val="9"/>
            <color indexed="81"/>
            <rFont val="Tahoma"/>
            <family val="2"/>
          </rPr>
          <t>Funciona como biometano</t>
        </r>
      </text>
    </comment>
  </commentList>
</comments>
</file>

<file path=xl/sharedStrings.xml><?xml version="1.0" encoding="utf-8"?>
<sst xmlns="http://schemas.openxmlformats.org/spreadsheetml/2006/main" count="1112" uniqueCount="99">
  <si>
    <t>External Cost</t>
  </si>
  <si>
    <t>Tech</t>
  </si>
  <si>
    <t>EmissionActivityRatio</t>
  </si>
  <si>
    <t>Final Unit</t>
  </si>
  <si>
    <t>Emission</t>
  </si>
  <si>
    <t>EmissionsPenalty</t>
  </si>
  <si>
    <t>CO2e_PWR</t>
  </si>
  <si>
    <t>PWRFOI</t>
  </si>
  <si>
    <t>T5PURDSLAGR</t>
  </si>
  <si>
    <t>CO2e_DE</t>
  </si>
  <si>
    <t>Factores de emisión GEI 2024 IMN</t>
  </si>
  <si>
    <t>T5DSLAGR</t>
  </si>
  <si>
    <t>T5ELEAGR</t>
  </si>
  <si>
    <t>T5PURGSLAGR</t>
  </si>
  <si>
    <t>T5KJFAGR</t>
  </si>
  <si>
    <t>T5LPGAGR</t>
  </si>
  <si>
    <t>T5PURDSLCOM</t>
  </si>
  <si>
    <t>T5ELECOM</t>
  </si>
  <si>
    <t>T5FOICOM</t>
  </si>
  <si>
    <t>T5PURGSLCOM</t>
  </si>
  <si>
    <t>T5LPGCOM</t>
  </si>
  <si>
    <t>T5PURDSLIND</t>
  </si>
  <si>
    <t>T5DSLIND</t>
  </si>
  <si>
    <t>T5ELEIND</t>
  </si>
  <si>
    <t>T5FOIIND</t>
  </si>
  <si>
    <t>T5PURGSLIND</t>
  </si>
  <si>
    <t>T5GSLIND</t>
  </si>
  <si>
    <t>T5HYDIND</t>
  </si>
  <si>
    <t>T5COKIND</t>
  </si>
  <si>
    <t>T5LPGIND</t>
  </si>
  <si>
    <t>T5SUGIND</t>
  </si>
  <si>
    <t>T5BMSIND</t>
  </si>
  <si>
    <t>T5COAIND</t>
  </si>
  <si>
    <t>T5IWAIND</t>
  </si>
  <si>
    <t>T5ELERES</t>
  </si>
  <si>
    <t>T5LPGRES</t>
  </si>
  <si>
    <t>T5ELEEXP</t>
  </si>
  <si>
    <t>T5FIREXP</t>
  </si>
  <si>
    <t>T5ELEPUB</t>
  </si>
  <si>
    <t>Unit</t>
  </si>
  <si>
    <t>Source</t>
  </si>
  <si>
    <t>InventarioGEI1990-2021</t>
  </si>
  <si>
    <t>https://www.ipcc-nggip.iges.or.jp/public/2006gl/pdf/2_Volume2/V2_2_Ch2_Stationary_Combustion.pdf</t>
  </si>
  <si>
    <t>PWRDSL</t>
  </si>
  <si>
    <t>PWRBMS</t>
  </si>
  <si>
    <t>T4DSL_PUB</t>
  </si>
  <si>
    <t>T4ELE_PUB</t>
  </si>
  <si>
    <t>T4HYD_PUB</t>
  </si>
  <si>
    <t>T4LPG_PUB</t>
  </si>
  <si>
    <t>T4GSL_PUB</t>
  </si>
  <si>
    <t>T4ELE_PRI</t>
  </si>
  <si>
    <t>T4GSL_PRI</t>
  </si>
  <si>
    <t>T4DSL_PRI</t>
  </si>
  <si>
    <t>T4LPG_PRI</t>
  </si>
  <si>
    <t>T4DSL_HEA</t>
  </si>
  <si>
    <t>T4ELE_HEA</t>
  </si>
  <si>
    <t>T4HYD_HEA</t>
  </si>
  <si>
    <t>T4LPG_HEA</t>
  </si>
  <si>
    <t>T4DSL_LIG</t>
  </si>
  <si>
    <t>T4ELE_LIG</t>
  </si>
  <si>
    <t>T4GSL_LIG</t>
  </si>
  <si>
    <t>T4LPG_LIG</t>
  </si>
  <si>
    <t>CO2e_TRN</t>
  </si>
  <si>
    <t>T5FIRCOM</t>
  </si>
  <si>
    <t>T5TMADSL</t>
  </si>
  <si>
    <t>T5TAEAVG</t>
  </si>
  <si>
    <t>T5TAEJTF</t>
  </si>
  <si>
    <t>T5TOTGSL</t>
  </si>
  <si>
    <t>PWRGEO</t>
  </si>
  <si>
    <t>CH4_PWR</t>
  </si>
  <si>
    <t>N2O_PWR</t>
  </si>
  <si>
    <t>BC_PWR</t>
  </si>
  <si>
    <t>CO2_PWR</t>
  </si>
  <si>
    <t>Tabl 3-6. PM25. https://www.eea.europa.eu/en/analysis/publications/emep-eea-guidebook-2024</t>
  </si>
  <si>
    <t>Tabl 3-6. PM25. https://www.eea.europa.eu/en/analysis/publications/emep-eea-guidebook-2023</t>
  </si>
  <si>
    <t>Tabl 3-8. PM25. https://www.eea.europa.eu/en/analysis/publications/emep-eea-guidebook-2025</t>
  </si>
  <si>
    <t>CO2_DE</t>
  </si>
  <si>
    <t>CH4_DE</t>
  </si>
  <si>
    <t>N2O_DE</t>
  </si>
  <si>
    <t>BC_DE</t>
  </si>
  <si>
    <t>EMP/EEA air pollutant emission inventory guidebook.  1.A.1 Energy Industries 2023. Table 3-2.hard coal</t>
  </si>
  <si>
    <t>EMP/EEA air pollutant emission inventory guidebook.  1.A.1 Energy Industries 2023. Table 3-4. Natural Gas</t>
  </si>
  <si>
    <t>EMP/EEA air pollutant emission inventory guidebook.  1.A.1 Energy Industries 2023. Table 3-7.Gas oil</t>
  </si>
  <si>
    <t>EMP/EEA air pollutant emission inventory guidebook.  1.A.1 Energy Industries 2023. Table 3-8.solid biomass</t>
  </si>
  <si>
    <t>EMP/EEA air pollutant emission inventory guidebook.  1.A.3.d Navigation (shipping)  2023. Table 3-2.Marine diesel oil</t>
  </si>
  <si>
    <t>CO2_TRN</t>
  </si>
  <si>
    <t>CH4_TRN</t>
  </si>
  <si>
    <t>N2O_TRN</t>
  </si>
  <si>
    <t>BC_TRN</t>
  </si>
  <si>
    <t>MtonCO2eq/PJ</t>
  </si>
  <si>
    <t>MtonCO2/PJ</t>
  </si>
  <si>
    <t>MtonCH4/PJ</t>
  </si>
  <si>
    <t>MtonN2O/PJ</t>
  </si>
  <si>
    <t>MtonBC/PJ</t>
  </si>
  <si>
    <t>EMP/EEA air pollutant emission inventory guidebook.  1.A.3.i-iv. Table 3-6.PC.https://www.eea.europa.eu/en/analysis/publications/emep-eea-guidebook-2023</t>
  </si>
  <si>
    <t>EMP/EEA air pollutant emission inventory guidebook.  1.A.3.i-iv. Table 3-6.HDV.https://www.eea.europa.eu/en/analysis/publications/emep-eea-guidebook-2023</t>
  </si>
  <si>
    <t>EMP/EEA air pollutant emission inventory guidebook.  1.A.3.i-iv. Table 3-6.LCV.https://www.eea.europa.eu/en/analysis/publications/emep-eea-guidebook-2023</t>
  </si>
  <si>
    <t>T4NGS_HEA</t>
  </si>
  <si>
    <t>PWRSUG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</si>
</sst>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3" fillId="0" borderId="0" xfId="0" applyFont="1"/>
    <xf numFmtId="0" fontId="0" fillId="3" borderId="0" xfId="0" applyFill="1"/>
    <xf numFmtId="0" fontId="2" fillId="0" borderId="0" xfId="0" applyFont="1"/>
    <xf numFmtId="0" fontId="2" fillId="3" borderId="0" xfId="0" applyFont="1" applyFill="1"/>
    <xf numFmtId="0" fontId="2" fillId="2" borderId="0" xfId="0" applyFont="1" applyFill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1" fontId="0" fillId="0" borderId="0" xfId="0" applyNumberFormat="1"/>
    <xf numFmtId="0" fontId="0" fillId="4" borderId="0" xfId="0" applyFill="1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2" fontId="5" fillId="0" borderId="0" xfId="0" applyNumberFormat="1" applyFont="1" applyAlignment="1">
      <alignment horizontal="right" vertical="center"/>
    </xf>
    <xf numFmtId="1" fontId="0" fillId="0" borderId="0" xfId="0" applyNumberFormat="1"/>
    <xf numFmtId="11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J282"/>
  <sheetViews>
    <sheetView tabSelected="1" zoomScale="175" zoomScaleNormal="175" workbookViewId="0">
      <pane ySplit="1" topLeftCell="A2" activePane="bottomLeft" state="frozen"/>
      <selection pane="bottomLeft" activeCell="C21" sqref="C21"/>
    </sheetView>
  </sheetViews>
  <sheetFormatPr defaultColWidth="9.109375" defaultRowHeight="14.4" x14ac:dyDescent="0.3"/>
  <cols>
    <col min="1" max="1" width="19" customWidth="1"/>
    <col min="2" max="2" width="16.6640625" customWidth="1"/>
    <col min="3" max="3" width="15" customWidth="1"/>
    <col min="4" max="4" width="13.77734375" customWidth="1"/>
    <col min="5" max="5" width="29.21875" customWidth="1"/>
    <col min="6" max="6" width="13.77734375" bestFit="1" customWidth="1"/>
    <col min="7" max="7" width="12" bestFit="1" customWidth="1"/>
    <col min="9" max="9" width="12" bestFit="1" customWidth="1"/>
  </cols>
  <sheetData>
    <row r="1" spans="1:8" ht="15" thickBot="1" x14ac:dyDescent="0.35">
      <c r="A1" s="8" t="s">
        <v>1</v>
      </c>
      <c r="B1" s="9" t="s">
        <v>4</v>
      </c>
      <c r="C1" s="9" t="s">
        <v>2</v>
      </c>
      <c r="D1" s="9" t="s">
        <v>39</v>
      </c>
      <c r="E1" s="10" t="s">
        <v>40</v>
      </c>
      <c r="G1" s="3"/>
      <c r="H1" s="3"/>
    </row>
    <row r="2" spans="1:8" hidden="1" x14ac:dyDescent="0.3">
      <c r="A2" t="s">
        <v>7</v>
      </c>
      <c r="B2" s="7" t="s">
        <v>6</v>
      </c>
      <c r="C2" s="15">
        <f>(74009.5465393795+3.29355608591885*28+265*0.660859188544153)*7.08/1000000</f>
        <v>0.5258804080668259</v>
      </c>
      <c r="D2" t="s">
        <v>89</v>
      </c>
      <c r="E2" t="s">
        <v>10</v>
      </c>
    </row>
    <row r="3" spans="1:8" x14ac:dyDescent="0.3">
      <c r="A3" t="s">
        <v>43</v>
      </c>
      <c r="B3" s="7" t="s">
        <v>6</v>
      </c>
      <c r="C3" s="15">
        <f>(74078.1+28*3+265*0.6)*6.04/1000000</f>
        <v>0.44889944400000004</v>
      </c>
      <c r="D3" t="s">
        <v>89</v>
      </c>
      <c r="E3" t="s">
        <v>41</v>
      </c>
    </row>
    <row r="4" spans="1:8" hidden="1" x14ac:dyDescent="0.3">
      <c r="A4" t="s">
        <v>44</v>
      </c>
      <c r="B4" s="7" t="s">
        <v>6</v>
      </c>
      <c r="C4" s="15">
        <f>(0+28*30+265*4)*2.1609/1000000</f>
        <v>4.1057100000000003E-3</v>
      </c>
      <c r="D4" t="s">
        <v>89</v>
      </c>
      <c r="E4" t="s">
        <v>41</v>
      </c>
    </row>
    <row r="5" spans="1:8" hidden="1" x14ac:dyDescent="0.3">
      <c r="A5" t="s">
        <v>98</v>
      </c>
      <c r="B5" s="7" t="s">
        <v>6</v>
      </c>
      <c r="C5" s="15">
        <f>(0+28*30+265*4)*2.1609/1000000</f>
        <v>4.1057100000000003E-3</v>
      </c>
      <c r="D5" t="s">
        <v>89</v>
      </c>
      <c r="E5" t="s">
        <v>41</v>
      </c>
    </row>
    <row r="6" spans="1:8" hidden="1" x14ac:dyDescent="0.3">
      <c r="A6" t="s">
        <v>68</v>
      </c>
      <c r="B6" s="7" t="s">
        <v>6</v>
      </c>
      <c r="C6" s="16">
        <f>(110.9/1000)/(1601.73*0.0036)</f>
        <v>1.923267689033455E-2</v>
      </c>
      <c r="D6" t="s">
        <v>89</v>
      </c>
      <c r="E6" t="s">
        <v>41</v>
      </c>
    </row>
    <row r="7" spans="1:8" hidden="1" x14ac:dyDescent="0.3">
      <c r="A7" t="s">
        <v>7</v>
      </c>
      <c r="B7" s="7" t="s">
        <v>72</v>
      </c>
      <c r="C7" s="15">
        <f>(74009.5465393795)*7.08/1000000</f>
        <v>0.52398758949880686</v>
      </c>
      <c r="D7" t="s">
        <v>90</v>
      </c>
      <c r="E7" t="s">
        <v>10</v>
      </c>
    </row>
    <row r="8" spans="1:8" x14ac:dyDescent="0.3">
      <c r="A8" t="s">
        <v>43</v>
      </c>
      <c r="B8" s="7" t="s">
        <v>72</v>
      </c>
      <c r="C8" s="15">
        <f>(74078.1)*6.04/1000000</f>
        <v>0.44743172400000003</v>
      </c>
      <c r="D8" t="s">
        <v>90</v>
      </c>
      <c r="E8" t="s">
        <v>41</v>
      </c>
    </row>
    <row r="9" spans="1:8" hidden="1" x14ac:dyDescent="0.3">
      <c r="A9" t="s">
        <v>44</v>
      </c>
      <c r="B9" s="7" t="s">
        <v>72</v>
      </c>
      <c r="C9" s="17">
        <f>(0)*2.1609/1000000</f>
        <v>0</v>
      </c>
      <c r="D9" t="s">
        <v>90</v>
      </c>
      <c r="E9" t="s">
        <v>41</v>
      </c>
    </row>
    <row r="10" spans="1:8" hidden="1" x14ac:dyDescent="0.3">
      <c r="A10" t="s">
        <v>98</v>
      </c>
      <c r="B10" s="7" t="s">
        <v>72</v>
      </c>
      <c r="C10" s="15">
        <v>0</v>
      </c>
      <c r="D10" t="s">
        <v>90</v>
      </c>
      <c r="E10" t="s">
        <v>41</v>
      </c>
    </row>
    <row r="11" spans="1:8" hidden="1" x14ac:dyDescent="0.3">
      <c r="A11" t="s">
        <v>68</v>
      </c>
      <c r="B11" s="7" t="s">
        <v>72</v>
      </c>
      <c r="C11" s="16">
        <f>(110.9/1000)/(1601.73*0.0036)</f>
        <v>1.923267689033455E-2</v>
      </c>
      <c r="D11" t="s">
        <v>90</v>
      </c>
      <c r="E11" t="s">
        <v>41</v>
      </c>
    </row>
    <row r="12" spans="1:8" hidden="1" x14ac:dyDescent="0.3">
      <c r="A12" t="s">
        <v>7</v>
      </c>
      <c r="B12" s="7" t="s">
        <v>69</v>
      </c>
      <c r="C12" s="14">
        <f>(3.29355608591885)*7.08/1000000</f>
        <v>2.3318377088305455E-5</v>
      </c>
      <c r="D12" t="s">
        <v>91</v>
      </c>
      <c r="E12" t="s">
        <v>10</v>
      </c>
    </row>
    <row r="13" spans="1:8" x14ac:dyDescent="0.3">
      <c r="A13" t="s">
        <v>43</v>
      </c>
      <c r="B13" s="7" t="s">
        <v>69</v>
      </c>
      <c r="C13" s="14">
        <f>(3)*6.04/1000000</f>
        <v>1.8119999999999999E-5</v>
      </c>
      <c r="D13" t="s">
        <v>91</v>
      </c>
      <c r="E13" t="s">
        <v>41</v>
      </c>
    </row>
    <row r="14" spans="1:8" hidden="1" x14ac:dyDescent="0.3">
      <c r="A14" t="s">
        <v>44</v>
      </c>
      <c r="B14" s="7" t="s">
        <v>69</v>
      </c>
      <c r="C14" s="14">
        <f>(30)*2.1609/1000000</f>
        <v>6.4826999999999994E-5</v>
      </c>
      <c r="D14" t="s">
        <v>91</v>
      </c>
      <c r="E14" t="s">
        <v>41</v>
      </c>
    </row>
    <row r="15" spans="1:8" hidden="1" x14ac:dyDescent="0.3">
      <c r="A15" t="s">
        <v>98</v>
      </c>
      <c r="B15" s="7" t="s">
        <v>69</v>
      </c>
      <c r="C15" s="15">
        <f>(30)*2.1609/1000000</f>
        <v>6.4826999999999994E-5</v>
      </c>
      <c r="D15" t="s">
        <v>91</v>
      </c>
      <c r="E15" t="s">
        <v>41</v>
      </c>
    </row>
    <row r="16" spans="1:8" hidden="1" x14ac:dyDescent="0.3">
      <c r="A16" t="s">
        <v>7</v>
      </c>
      <c r="B16" s="7" t="s">
        <v>70</v>
      </c>
      <c r="C16" s="13">
        <f>(0.660859188544153)*7.08/1000000</f>
        <v>4.6788830548926033E-6</v>
      </c>
      <c r="D16" t="s">
        <v>92</v>
      </c>
      <c r="E16" t="s">
        <v>10</v>
      </c>
    </row>
    <row r="17" spans="1:9" x14ac:dyDescent="0.3">
      <c r="A17" t="s">
        <v>43</v>
      </c>
      <c r="B17" s="7" t="s">
        <v>70</v>
      </c>
      <c r="C17" s="13">
        <f>(0.6)*6.04/1000000</f>
        <v>3.6239999999999995E-6</v>
      </c>
      <c r="D17" t="s">
        <v>92</v>
      </c>
      <c r="E17" t="s">
        <v>41</v>
      </c>
    </row>
    <row r="18" spans="1:9" hidden="1" x14ac:dyDescent="0.3">
      <c r="A18" t="s">
        <v>44</v>
      </c>
      <c r="B18" s="7" t="s">
        <v>70</v>
      </c>
      <c r="C18" s="13">
        <f>(4)*2.1609/1000000</f>
        <v>8.6435999999999997E-6</v>
      </c>
      <c r="D18" t="s">
        <v>92</v>
      </c>
      <c r="E18" t="s">
        <v>41</v>
      </c>
    </row>
    <row r="19" spans="1:9" hidden="1" x14ac:dyDescent="0.3">
      <c r="A19" t="s">
        <v>98</v>
      </c>
      <c r="B19" s="7" t="s">
        <v>70</v>
      </c>
      <c r="C19" s="15">
        <f>(4)*2.1609/1000000</f>
        <v>8.6435999999999997E-6</v>
      </c>
      <c r="D19" t="s">
        <v>92</v>
      </c>
      <c r="E19" t="s">
        <v>41</v>
      </c>
    </row>
    <row r="20" spans="1:9" hidden="1" x14ac:dyDescent="0.3">
      <c r="A20" t="s">
        <v>7</v>
      </c>
      <c r="B20" s="7" t="s">
        <v>71</v>
      </c>
      <c r="C20">
        <f>19.3*1000/1000000000</f>
        <v>1.9300000000000002E-5</v>
      </c>
      <c r="D20" t="s">
        <v>93</v>
      </c>
      <c r="E20" t="s">
        <v>74</v>
      </c>
    </row>
    <row r="21" spans="1:9" x14ac:dyDescent="0.3">
      <c r="A21" t="s">
        <v>43</v>
      </c>
      <c r="B21" s="7" t="s">
        <v>71</v>
      </c>
      <c r="C21">
        <f>19.3*1000/1000000000</f>
        <v>1.9300000000000002E-5</v>
      </c>
      <c r="D21" t="s">
        <v>93</v>
      </c>
      <c r="E21" t="s">
        <v>73</v>
      </c>
    </row>
    <row r="22" spans="1:9" hidden="1" x14ac:dyDescent="0.3">
      <c r="A22" t="s">
        <v>44</v>
      </c>
      <c r="B22" s="7" t="s">
        <v>71</v>
      </c>
      <c r="C22">
        <f>133*1000/1000000000</f>
        <v>1.3300000000000001E-4</v>
      </c>
      <c r="D22" t="s">
        <v>93</v>
      </c>
      <c r="E22" t="s">
        <v>75</v>
      </c>
    </row>
    <row r="23" spans="1:9" hidden="1" x14ac:dyDescent="0.3">
      <c r="A23" t="s">
        <v>98</v>
      </c>
      <c r="B23" s="7" t="s">
        <v>71</v>
      </c>
      <c r="C23">
        <f>133*1000/1000000000</f>
        <v>1.3300000000000001E-4</v>
      </c>
      <c r="D23" t="s">
        <v>93</v>
      </c>
      <c r="E23" t="s">
        <v>75</v>
      </c>
    </row>
    <row r="24" spans="1:9" hidden="1" x14ac:dyDescent="0.3">
      <c r="A24" t="s">
        <v>8</v>
      </c>
      <c r="B24" s="4" t="s">
        <v>9</v>
      </c>
      <c r="C24">
        <f>(0.0694208289054198+28*0.0000101487778958555+265*6.48777895855473E-07)</f>
        <v>6.9876920828905453E-2</v>
      </c>
      <c r="D24" t="s">
        <v>89</v>
      </c>
      <c r="E24" t="s">
        <v>10</v>
      </c>
    </row>
    <row r="25" spans="1:9" hidden="1" x14ac:dyDescent="0.3">
      <c r="A25" t="s">
        <v>11</v>
      </c>
      <c r="B25" s="4" t="s">
        <v>9</v>
      </c>
      <c r="C25" s="5">
        <f>(70800+28*10+265*0.6)/1000000</f>
        <v>7.1238999999999997E-2</v>
      </c>
      <c r="D25" t="s">
        <v>89</v>
      </c>
      <c r="E25" t="s">
        <v>42</v>
      </c>
    </row>
    <row r="26" spans="1:9" hidden="1" x14ac:dyDescent="0.3">
      <c r="A26" t="s">
        <v>12</v>
      </c>
      <c r="B26" s="4" t="s">
        <v>9</v>
      </c>
      <c r="C26">
        <v>0</v>
      </c>
      <c r="D26" t="s">
        <v>89</v>
      </c>
      <c r="E26" t="s">
        <v>10</v>
      </c>
    </row>
    <row r="27" spans="1:9" hidden="1" x14ac:dyDescent="0.3">
      <c r="A27" t="s">
        <v>13</v>
      </c>
      <c r="B27" s="4" t="s">
        <v>9</v>
      </c>
      <c r="C27">
        <f>(0.0666169005673335+28*0.0000103314422215587+265*6.60197073753359E-07)</f>
        <v>6.7081133174081792E-2</v>
      </c>
      <c r="D27" t="s">
        <v>89</v>
      </c>
      <c r="E27" t="s">
        <v>10</v>
      </c>
      <c r="I27" s="11"/>
    </row>
    <row r="28" spans="1:9" hidden="1" x14ac:dyDescent="0.3">
      <c r="A28" t="s">
        <v>14</v>
      </c>
      <c r="B28" s="4" t="s">
        <v>9</v>
      </c>
      <c r="C28">
        <f>0.0693883123975969</f>
        <v>6.9388312397596894E-2</v>
      </c>
      <c r="D28" t="s">
        <v>89</v>
      </c>
      <c r="E28" t="s">
        <v>10</v>
      </c>
    </row>
    <row r="29" spans="1:9" hidden="1" x14ac:dyDescent="0.3">
      <c r="A29" t="s">
        <v>15</v>
      </c>
      <c r="B29" s="4" t="s">
        <v>9</v>
      </c>
      <c r="C29">
        <f>+(0.0627336448598131+28*5.41277258566978E-06+265*1.06892523364486E-07)</f>
        <v>6.2913529010903441E-2</v>
      </c>
      <c r="D29" t="s">
        <v>89</v>
      </c>
      <c r="E29" t="s">
        <v>10</v>
      </c>
    </row>
    <row r="30" spans="1:9" hidden="1" x14ac:dyDescent="0.3">
      <c r="A30" t="s">
        <v>16</v>
      </c>
      <c r="B30" s="4" t="s">
        <v>9</v>
      </c>
      <c r="C30">
        <f>(0.0694208289054198+28*0.0000101487778958555+265*6.48777895855473E-07)</f>
        <v>6.9876920828905453E-2</v>
      </c>
      <c r="D30" t="s">
        <v>89</v>
      </c>
      <c r="E30" t="s">
        <v>10</v>
      </c>
    </row>
    <row r="31" spans="1:9" hidden="1" x14ac:dyDescent="0.3">
      <c r="A31" t="s">
        <v>17</v>
      </c>
      <c r="B31" s="4" t="s">
        <v>9</v>
      </c>
      <c r="C31">
        <v>0</v>
      </c>
      <c r="D31" t="s">
        <v>89</v>
      </c>
      <c r="E31" t="s">
        <v>10</v>
      </c>
    </row>
    <row r="32" spans="1:9" hidden="1" x14ac:dyDescent="0.3">
      <c r="A32" t="s">
        <v>18</v>
      </c>
      <c r="B32" s="4" t="s">
        <v>9</v>
      </c>
      <c r="C32">
        <f>(77400+28*3+265*0.6)/1000000</f>
        <v>7.7643000000000004E-2</v>
      </c>
      <c r="D32" t="s">
        <v>89</v>
      </c>
      <c r="E32" t="s">
        <v>41</v>
      </c>
    </row>
    <row r="33" spans="1:9" hidden="1" x14ac:dyDescent="0.3">
      <c r="A33" t="s">
        <v>19</v>
      </c>
      <c r="B33" s="4" t="s">
        <v>9</v>
      </c>
      <c r="C33" s="5">
        <f>(0.0666169005673335+28*0.0000103314422215587+265*6.60197073753359E-07)</f>
        <v>6.7081133174081792E-2</v>
      </c>
      <c r="D33" t="s">
        <v>89</v>
      </c>
      <c r="E33" t="s">
        <v>10</v>
      </c>
    </row>
    <row r="34" spans="1:9" hidden="1" x14ac:dyDescent="0.3">
      <c r="A34" t="s">
        <v>20</v>
      </c>
      <c r="B34" s="4" t="s">
        <v>9</v>
      </c>
      <c r="C34">
        <f>+(0.0627336448598131+28*5.41277258566978E-06+265*1.06892523364486E-07)</f>
        <v>6.2913529010903441E-2</v>
      </c>
      <c r="D34" t="s">
        <v>89</v>
      </c>
      <c r="E34" t="s">
        <v>10</v>
      </c>
    </row>
    <row r="35" spans="1:9" hidden="1" x14ac:dyDescent="0.3">
      <c r="A35" t="s">
        <v>21</v>
      </c>
      <c r="B35" s="4" t="s">
        <v>9</v>
      </c>
      <c r="C35">
        <f>(0.0694208289054198+28*3.24123273113709E-06+265*6.48777895855473E-07)</f>
        <v>6.9683509564293339E-2</v>
      </c>
      <c r="D35" t="s">
        <v>89</v>
      </c>
      <c r="E35" t="s">
        <v>10</v>
      </c>
      <c r="I35" s="11"/>
    </row>
    <row r="36" spans="1:9" hidden="1" x14ac:dyDescent="0.3">
      <c r="A36" t="s">
        <v>22</v>
      </c>
      <c r="B36" s="4" t="s">
        <v>9</v>
      </c>
      <c r="C36" s="5">
        <f>(70800+28*3+265*0.6)/1000000</f>
        <v>7.1042999999999995E-2</v>
      </c>
      <c r="D36" t="s">
        <v>89</v>
      </c>
      <c r="E36" t="s">
        <v>42</v>
      </c>
    </row>
    <row r="37" spans="1:9" hidden="1" x14ac:dyDescent="0.3">
      <c r="A37" t="s">
        <v>23</v>
      </c>
      <c r="B37" s="4" t="s">
        <v>9</v>
      </c>
      <c r="C37">
        <v>0</v>
      </c>
      <c r="D37" t="s">
        <v>89</v>
      </c>
      <c r="E37" t="s">
        <v>10</v>
      </c>
    </row>
    <row r="38" spans="1:9" hidden="1" x14ac:dyDescent="0.3">
      <c r="A38" t="s">
        <v>24</v>
      </c>
      <c r="B38" s="4" t="s">
        <v>9</v>
      </c>
      <c r="C38">
        <f>(77400+28*3+265*0.6)/1000000</f>
        <v>7.7643000000000004E-2</v>
      </c>
      <c r="D38" t="s">
        <v>89</v>
      </c>
      <c r="E38" t="s">
        <v>41</v>
      </c>
    </row>
    <row r="39" spans="1:9" hidden="1" x14ac:dyDescent="0.3">
      <c r="A39" t="s">
        <v>25</v>
      </c>
      <c r="B39" s="4" t="s">
        <v>9</v>
      </c>
      <c r="C39">
        <f>(0.0666169005673335+28*3.31442221558674E-06+265*6.60197073753359E-07)</f>
        <v>6.6884656613914573E-2</v>
      </c>
      <c r="D39" t="s">
        <v>89</v>
      </c>
      <c r="E39" t="s">
        <v>10</v>
      </c>
      <c r="H39" s="11"/>
    </row>
    <row r="40" spans="1:9" hidden="1" x14ac:dyDescent="0.3">
      <c r="A40" t="s">
        <v>26</v>
      </c>
      <c r="B40" s="4" t="s">
        <v>9</v>
      </c>
      <c r="C40" s="5">
        <f>(70800+28*3+265*0.6)/1000000</f>
        <v>7.1042999999999995E-2</v>
      </c>
      <c r="D40" t="s">
        <v>89</v>
      </c>
      <c r="E40" t="s">
        <v>42</v>
      </c>
    </row>
    <row r="41" spans="1:9" hidden="1" x14ac:dyDescent="0.3">
      <c r="A41" t="s">
        <v>27</v>
      </c>
      <c r="B41" s="4" t="s">
        <v>9</v>
      </c>
      <c r="C41">
        <v>0</v>
      </c>
      <c r="D41" t="s">
        <v>89</v>
      </c>
      <c r="E41" t="s">
        <v>10</v>
      </c>
      <c r="H41" s="11"/>
    </row>
    <row r="42" spans="1:9" hidden="1" x14ac:dyDescent="0.3">
      <c r="A42" s="5" t="s">
        <v>28</v>
      </c>
      <c r="B42" s="6" t="s">
        <v>9</v>
      </c>
      <c r="C42" s="5">
        <f>(97500+28*3+265*0.6)/1000000</f>
        <v>9.7742999999999997E-2</v>
      </c>
      <c r="D42" t="s">
        <v>89</v>
      </c>
      <c r="E42" t="s">
        <v>41</v>
      </c>
    </row>
    <row r="43" spans="1:9" hidden="1" x14ac:dyDescent="0.3">
      <c r="A43" t="s">
        <v>29</v>
      </c>
      <c r="B43" s="4" t="s">
        <v>9</v>
      </c>
      <c r="C43">
        <f>+(0.0627336448598131+28*1.05140186915888E-06+265*1.06892523364486E-07)</f>
        <v>6.2791410630841135E-2</v>
      </c>
      <c r="D43" t="s">
        <v>89</v>
      </c>
      <c r="E43" t="s">
        <v>10</v>
      </c>
    </row>
    <row r="44" spans="1:9" hidden="1" x14ac:dyDescent="0.3">
      <c r="A44" s="5" t="s">
        <v>30</v>
      </c>
      <c r="B44" s="6" t="s">
        <v>9</v>
      </c>
      <c r="C44" s="5">
        <f>+(0+28*30+265*4)/1000000</f>
        <v>1.9E-3</v>
      </c>
      <c r="D44" t="s">
        <v>89</v>
      </c>
      <c r="E44" t="s">
        <v>42</v>
      </c>
    </row>
    <row r="45" spans="1:9" hidden="1" x14ac:dyDescent="0.3">
      <c r="A45" s="5" t="s">
        <v>31</v>
      </c>
      <c r="B45" s="6" t="s">
        <v>9</v>
      </c>
      <c r="C45" s="5">
        <f>+(0+28*30+265*4)/1000000</f>
        <v>1.9E-3</v>
      </c>
      <c r="D45" t="s">
        <v>89</v>
      </c>
      <c r="E45" t="s">
        <v>42</v>
      </c>
    </row>
    <row r="46" spans="1:9" hidden="1" x14ac:dyDescent="0.3">
      <c r="A46" s="5" t="s">
        <v>32</v>
      </c>
      <c r="B46" s="6" t="s">
        <v>9</v>
      </c>
      <c r="C46" s="5">
        <f>(94600+28*10+1.5*265)/1000000</f>
        <v>9.5277500000000001E-2</v>
      </c>
      <c r="D46" t="s">
        <v>89</v>
      </c>
      <c r="E46" t="s">
        <v>41</v>
      </c>
    </row>
    <row r="47" spans="1:9" hidden="1" x14ac:dyDescent="0.3">
      <c r="A47" s="5" t="s">
        <v>33</v>
      </c>
      <c r="B47" s="6" t="s">
        <v>9</v>
      </c>
      <c r="C47">
        <f>+(0+28*30+265*4)/1000000</f>
        <v>1.9E-3</v>
      </c>
      <c r="D47" t="s">
        <v>89</v>
      </c>
      <c r="E47" t="s">
        <v>41</v>
      </c>
    </row>
    <row r="48" spans="1:9" hidden="1" x14ac:dyDescent="0.3">
      <c r="A48" t="s">
        <v>34</v>
      </c>
      <c r="B48" s="4" t="s">
        <v>9</v>
      </c>
      <c r="C48">
        <v>0</v>
      </c>
      <c r="D48" t="s">
        <v>89</v>
      </c>
      <c r="E48" t="s">
        <v>10</v>
      </c>
    </row>
    <row r="49" spans="1:9" hidden="1" x14ac:dyDescent="0.3">
      <c r="A49" t="s">
        <v>35</v>
      </c>
      <c r="B49" s="4" t="s">
        <v>9</v>
      </c>
      <c r="C49">
        <f>+(0.0627336448598131+28*5.41277258566978E-06+265*1.06892523364486E-07)</f>
        <v>6.2913529010903441E-2</v>
      </c>
      <c r="D49" t="s">
        <v>89</v>
      </c>
      <c r="E49" t="s">
        <v>10</v>
      </c>
    </row>
    <row r="50" spans="1:9" hidden="1" x14ac:dyDescent="0.3">
      <c r="A50" t="s">
        <v>36</v>
      </c>
      <c r="B50" s="4" t="s">
        <v>9</v>
      </c>
      <c r="C50">
        <v>0</v>
      </c>
      <c r="D50" t="s">
        <v>89</v>
      </c>
      <c r="E50" t="s">
        <v>10</v>
      </c>
    </row>
    <row r="51" spans="1:9" hidden="1" x14ac:dyDescent="0.3">
      <c r="A51" t="s">
        <v>63</v>
      </c>
      <c r="B51" s="4" t="s">
        <v>9</v>
      </c>
      <c r="C51">
        <f>+(0+28*300+265*4)/1000000</f>
        <v>9.4599999999999997E-3</v>
      </c>
      <c r="D51" t="s">
        <v>89</v>
      </c>
      <c r="E51" t="s">
        <v>41</v>
      </c>
    </row>
    <row r="52" spans="1:9" hidden="1" x14ac:dyDescent="0.3">
      <c r="A52" s="5" t="s">
        <v>37</v>
      </c>
      <c r="B52" s="6" t="s">
        <v>9</v>
      </c>
      <c r="C52" s="5">
        <v>0</v>
      </c>
      <c r="D52" t="s">
        <v>89</v>
      </c>
      <c r="E52" t="s">
        <v>10</v>
      </c>
    </row>
    <row r="53" spans="1:9" hidden="1" x14ac:dyDescent="0.3">
      <c r="A53" t="s">
        <v>38</v>
      </c>
      <c r="B53" s="4" t="s">
        <v>9</v>
      </c>
      <c r="C53">
        <v>0</v>
      </c>
      <c r="D53" t="s">
        <v>89</v>
      </c>
      <c r="E53" t="s">
        <v>10</v>
      </c>
    </row>
    <row r="54" spans="1:9" hidden="1" x14ac:dyDescent="0.3">
      <c r="A54" t="s">
        <v>64</v>
      </c>
      <c r="B54" s="4" t="s">
        <v>62</v>
      </c>
      <c r="C54">
        <f>(74078.1+28*3.9+265*3.9)/1000000</f>
        <v>7.5220800000000004E-2</v>
      </c>
      <c r="D54" t="s">
        <v>89</v>
      </c>
      <c r="E54" t="s">
        <v>10</v>
      </c>
    </row>
    <row r="55" spans="1:9" hidden="1" x14ac:dyDescent="0.3">
      <c r="A55" t="s">
        <v>65</v>
      </c>
      <c r="B55" s="4" t="s">
        <v>62</v>
      </c>
      <c r="C55">
        <f>(70000+28*0.5+265*2)/1000000</f>
        <v>7.0543999999999996E-2</v>
      </c>
      <c r="D55" t="s">
        <v>89</v>
      </c>
      <c r="E55" t="s">
        <v>10</v>
      </c>
    </row>
    <row r="56" spans="1:9" hidden="1" x14ac:dyDescent="0.3">
      <c r="A56" t="s">
        <v>66</v>
      </c>
      <c r="B56" s="4" t="s">
        <v>62</v>
      </c>
      <c r="C56">
        <f>(71500+28*0.5+265*2)/1000000</f>
        <v>7.2043999999999997E-2</v>
      </c>
      <c r="D56" t="s">
        <v>89</v>
      </c>
      <c r="E56" t="s">
        <v>10</v>
      </c>
    </row>
    <row r="57" spans="1:9" ht="15" hidden="1" customHeight="1" x14ac:dyDescent="0.3">
      <c r="A57" t="s">
        <v>67</v>
      </c>
      <c r="B57" s="4" t="s">
        <v>62</v>
      </c>
      <c r="C57">
        <f>(70024.8+28*80+265*2)/1000000</f>
        <v>7.2794800000000007E-2</v>
      </c>
      <c r="D57" t="s">
        <v>89</v>
      </c>
      <c r="E57" t="s">
        <v>10</v>
      </c>
    </row>
    <row r="58" spans="1:9" hidden="1" x14ac:dyDescent="0.3">
      <c r="A58" t="s">
        <v>8</v>
      </c>
      <c r="B58" s="4" t="s">
        <v>76</v>
      </c>
      <c r="C58">
        <f>(0.0694208289054198)</f>
        <v>6.9420828905419799E-2</v>
      </c>
      <c r="D58" t="s">
        <v>90</v>
      </c>
      <c r="E58" t="s">
        <v>10</v>
      </c>
    </row>
    <row r="59" spans="1:9" hidden="1" x14ac:dyDescent="0.3">
      <c r="A59" t="s">
        <v>11</v>
      </c>
      <c r="B59" s="4" t="s">
        <v>76</v>
      </c>
      <c r="C59" s="5">
        <f>(70800)/1000000</f>
        <v>7.0800000000000002E-2</v>
      </c>
      <c r="D59" t="s">
        <v>90</v>
      </c>
      <c r="E59" t="s">
        <v>42</v>
      </c>
    </row>
    <row r="60" spans="1:9" hidden="1" x14ac:dyDescent="0.3">
      <c r="A60" t="s">
        <v>12</v>
      </c>
      <c r="B60" s="4" t="s">
        <v>76</v>
      </c>
      <c r="C60">
        <v>0</v>
      </c>
      <c r="D60" t="s">
        <v>90</v>
      </c>
      <c r="E60" t="s">
        <v>10</v>
      </c>
    </row>
    <row r="61" spans="1:9" hidden="1" x14ac:dyDescent="0.3">
      <c r="A61" t="s">
        <v>13</v>
      </c>
      <c r="B61" s="4" t="s">
        <v>76</v>
      </c>
      <c r="C61">
        <f>(0.0666169005673335)</f>
        <v>6.6616900567333506E-2</v>
      </c>
      <c r="D61" t="s">
        <v>90</v>
      </c>
      <c r="E61" t="s">
        <v>10</v>
      </c>
      <c r="I61" s="11"/>
    </row>
    <row r="62" spans="1:9" hidden="1" x14ac:dyDescent="0.3">
      <c r="A62" t="s">
        <v>14</v>
      </c>
      <c r="B62" s="4" t="s">
        <v>76</v>
      </c>
      <c r="C62">
        <f>0.0693883123975969</f>
        <v>6.9388312397596894E-2</v>
      </c>
      <c r="D62" t="s">
        <v>90</v>
      </c>
      <c r="E62" t="s">
        <v>10</v>
      </c>
    </row>
    <row r="63" spans="1:9" hidden="1" x14ac:dyDescent="0.3">
      <c r="A63" t="s">
        <v>15</v>
      </c>
      <c r="B63" s="4" t="s">
        <v>76</v>
      </c>
      <c r="C63">
        <f>+(0.0627336448598131)</f>
        <v>6.2733644859813101E-2</v>
      </c>
      <c r="D63" t="s">
        <v>90</v>
      </c>
      <c r="E63" t="s">
        <v>10</v>
      </c>
    </row>
    <row r="64" spans="1:9" hidden="1" x14ac:dyDescent="0.3">
      <c r="A64" t="s">
        <v>16</v>
      </c>
      <c r="B64" s="4" t="s">
        <v>76</v>
      </c>
      <c r="C64">
        <f>(0.0694208289054198)</f>
        <v>6.9420828905419799E-2</v>
      </c>
      <c r="D64" t="s">
        <v>90</v>
      </c>
      <c r="E64" t="s">
        <v>10</v>
      </c>
    </row>
    <row r="65" spans="1:9" hidden="1" x14ac:dyDescent="0.3">
      <c r="A65" t="s">
        <v>17</v>
      </c>
      <c r="B65" s="4" t="s">
        <v>76</v>
      </c>
      <c r="C65">
        <v>0</v>
      </c>
      <c r="D65" t="s">
        <v>90</v>
      </c>
      <c r="E65" t="s">
        <v>10</v>
      </c>
    </row>
    <row r="66" spans="1:9" hidden="1" x14ac:dyDescent="0.3">
      <c r="A66" t="s">
        <v>18</v>
      </c>
      <c r="B66" s="4" t="s">
        <v>76</v>
      </c>
      <c r="C66">
        <f>(77400)/1000000</f>
        <v>7.7399999999999997E-2</v>
      </c>
      <c r="D66" t="s">
        <v>90</v>
      </c>
      <c r="E66" t="s">
        <v>41</v>
      </c>
    </row>
    <row r="67" spans="1:9" hidden="1" x14ac:dyDescent="0.3">
      <c r="A67" t="s">
        <v>19</v>
      </c>
      <c r="B67" s="4" t="s">
        <v>76</v>
      </c>
      <c r="C67" s="5">
        <f>(0.0666169005673335)</f>
        <v>6.6616900567333506E-2</v>
      </c>
      <c r="D67" t="s">
        <v>90</v>
      </c>
      <c r="E67" t="s">
        <v>10</v>
      </c>
    </row>
    <row r="68" spans="1:9" hidden="1" x14ac:dyDescent="0.3">
      <c r="A68" t="s">
        <v>20</v>
      </c>
      <c r="B68" s="4" t="s">
        <v>76</v>
      </c>
      <c r="C68">
        <f>+(0.0627336448598131)</f>
        <v>6.2733644859813101E-2</v>
      </c>
      <c r="D68" t="s">
        <v>90</v>
      </c>
      <c r="E68" t="s">
        <v>10</v>
      </c>
    </row>
    <row r="69" spans="1:9" hidden="1" x14ac:dyDescent="0.3">
      <c r="A69" t="s">
        <v>21</v>
      </c>
      <c r="B69" s="4" t="s">
        <v>76</v>
      </c>
      <c r="C69">
        <f>(0.0694208289054198)</f>
        <v>6.9420828905419799E-2</v>
      </c>
      <c r="D69" t="s">
        <v>90</v>
      </c>
      <c r="E69" t="s">
        <v>10</v>
      </c>
      <c r="I69" s="11"/>
    </row>
    <row r="70" spans="1:9" hidden="1" x14ac:dyDescent="0.3">
      <c r="A70" t="s">
        <v>22</v>
      </c>
      <c r="B70" s="4" t="s">
        <v>76</v>
      </c>
      <c r="C70" s="5">
        <f>(70800)/1000000</f>
        <v>7.0800000000000002E-2</v>
      </c>
      <c r="D70" t="s">
        <v>90</v>
      </c>
      <c r="E70" t="s">
        <v>42</v>
      </c>
    </row>
    <row r="71" spans="1:9" hidden="1" x14ac:dyDescent="0.3">
      <c r="A71" t="s">
        <v>23</v>
      </c>
      <c r="B71" s="4" t="s">
        <v>76</v>
      </c>
      <c r="C71">
        <v>0</v>
      </c>
      <c r="D71" t="s">
        <v>90</v>
      </c>
      <c r="E71" t="s">
        <v>10</v>
      </c>
    </row>
    <row r="72" spans="1:9" hidden="1" x14ac:dyDescent="0.3">
      <c r="A72" t="s">
        <v>24</v>
      </c>
      <c r="B72" s="4" t="s">
        <v>76</v>
      </c>
      <c r="C72">
        <f>(77400)/1000000</f>
        <v>7.7399999999999997E-2</v>
      </c>
      <c r="D72" t="s">
        <v>90</v>
      </c>
      <c r="E72" t="s">
        <v>41</v>
      </c>
    </row>
    <row r="73" spans="1:9" hidden="1" x14ac:dyDescent="0.3">
      <c r="A73" t="s">
        <v>25</v>
      </c>
      <c r="B73" s="4" t="s">
        <v>76</v>
      </c>
      <c r="C73">
        <f>(0.0666169005673335)</f>
        <v>6.6616900567333506E-2</v>
      </c>
      <c r="D73" t="s">
        <v>90</v>
      </c>
      <c r="E73" t="s">
        <v>10</v>
      </c>
      <c r="H73" s="11"/>
    </row>
    <row r="74" spans="1:9" hidden="1" x14ac:dyDescent="0.3">
      <c r="A74" t="s">
        <v>26</v>
      </c>
      <c r="B74" s="4" t="s">
        <v>76</v>
      </c>
      <c r="C74" s="5">
        <f>(70800)/1000000</f>
        <v>7.0800000000000002E-2</v>
      </c>
      <c r="D74" t="s">
        <v>90</v>
      </c>
      <c r="E74" t="s">
        <v>42</v>
      </c>
    </row>
    <row r="75" spans="1:9" hidden="1" x14ac:dyDescent="0.3">
      <c r="A75" t="s">
        <v>27</v>
      </c>
      <c r="B75" s="4" t="s">
        <v>76</v>
      </c>
      <c r="C75">
        <v>0</v>
      </c>
      <c r="D75" t="s">
        <v>90</v>
      </c>
      <c r="E75" t="s">
        <v>10</v>
      </c>
      <c r="H75" s="11"/>
    </row>
    <row r="76" spans="1:9" hidden="1" x14ac:dyDescent="0.3">
      <c r="A76" s="5" t="s">
        <v>28</v>
      </c>
      <c r="B76" s="4" t="s">
        <v>76</v>
      </c>
      <c r="C76" s="5">
        <f>(97500)/1000000</f>
        <v>9.7500000000000003E-2</v>
      </c>
      <c r="D76" t="s">
        <v>90</v>
      </c>
      <c r="E76" t="s">
        <v>41</v>
      </c>
    </row>
    <row r="77" spans="1:9" hidden="1" x14ac:dyDescent="0.3">
      <c r="A77" t="s">
        <v>29</v>
      </c>
      <c r="B77" s="4" t="s">
        <v>76</v>
      </c>
      <c r="C77">
        <f>+(0.0627336448598131)</f>
        <v>6.2733644859813101E-2</v>
      </c>
      <c r="D77" t="s">
        <v>90</v>
      </c>
      <c r="E77" t="s">
        <v>10</v>
      </c>
    </row>
    <row r="78" spans="1:9" hidden="1" x14ac:dyDescent="0.3">
      <c r="A78" s="5" t="s">
        <v>30</v>
      </c>
      <c r="B78" s="4" t="s">
        <v>76</v>
      </c>
      <c r="C78" s="5">
        <f>+(0)/1000000</f>
        <v>0</v>
      </c>
      <c r="D78" t="s">
        <v>90</v>
      </c>
      <c r="E78" t="s">
        <v>42</v>
      </c>
    </row>
    <row r="79" spans="1:9" hidden="1" x14ac:dyDescent="0.3">
      <c r="A79" s="5" t="s">
        <v>31</v>
      </c>
      <c r="B79" s="4" t="s">
        <v>76</v>
      </c>
      <c r="C79" s="5">
        <f>+(0)/1000000</f>
        <v>0</v>
      </c>
      <c r="D79" t="s">
        <v>90</v>
      </c>
      <c r="E79" t="s">
        <v>42</v>
      </c>
    </row>
    <row r="80" spans="1:9" hidden="1" x14ac:dyDescent="0.3">
      <c r="A80" s="5" t="s">
        <v>32</v>
      </c>
      <c r="B80" s="4" t="s">
        <v>76</v>
      </c>
      <c r="C80" s="5">
        <f>(94600)/1000000</f>
        <v>9.4600000000000004E-2</v>
      </c>
      <c r="D80" t="s">
        <v>90</v>
      </c>
      <c r="E80" t="s">
        <v>41</v>
      </c>
    </row>
    <row r="81" spans="1:9" hidden="1" x14ac:dyDescent="0.3">
      <c r="A81" s="5" t="s">
        <v>33</v>
      </c>
      <c r="B81" s="4" t="s">
        <v>76</v>
      </c>
      <c r="C81">
        <f>+(0)/1000000</f>
        <v>0</v>
      </c>
      <c r="D81" t="s">
        <v>90</v>
      </c>
      <c r="E81" t="s">
        <v>41</v>
      </c>
    </row>
    <row r="82" spans="1:9" hidden="1" x14ac:dyDescent="0.3">
      <c r="A82" t="s">
        <v>34</v>
      </c>
      <c r="B82" s="4" t="s">
        <v>76</v>
      </c>
      <c r="C82">
        <v>0</v>
      </c>
      <c r="D82" t="s">
        <v>90</v>
      </c>
      <c r="E82" t="s">
        <v>10</v>
      </c>
    </row>
    <row r="83" spans="1:9" hidden="1" x14ac:dyDescent="0.3">
      <c r="A83" t="s">
        <v>35</v>
      </c>
      <c r="B83" s="4" t="s">
        <v>76</v>
      </c>
      <c r="C83">
        <f>+(0.0627336448598131)</f>
        <v>6.2733644859813101E-2</v>
      </c>
      <c r="D83" t="s">
        <v>90</v>
      </c>
      <c r="E83" t="s">
        <v>10</v>
      </c>
    </row>
    <row r="84" spans="1:9" hidden="1" x14ac:dyDescent="0.3">
      <c r="A84" t="s">
        <v>36</v>
      </c>
      <c r="B84" s="4" t="s">
        <v>76</v>
      </c>
      <c r="C84">
        <v>0</v>
      </c>
      <c r="D84" t="s">
        <v>90</v>
      </c>
      <c r="E84" t="s">
        <v>10</v>
      </c>
    </row>
    <row r="85" spans="1:9" hidden="1" x14ac:dyDescent="0.3">
      <c r="A85" t="s">
        <v>63</v>
      </c>
      <c r="B85" s="4" t="s">
        <v>76</v>
      </c>
      <c r="C85">
        <f>+(0)/1000000</f>
        <v>0</v>
      </c>
      <c r="D85" t="s">
        <v>90</v>
      </c>
      <c r="E85" t="s">
        <v>41</v>
      </c>
    </row>
    <row r="86" spans="1:9" hidden="1" x14ac:dyDescent="0.3">
      <c r="A86" s="5" t="s">
        <v>37</v>
      </c>
      <c r="B86" s="4" t="s">
        <v>76</v>
      </c>
      <c r="C86" s="5">
        <v>0</v>
      </c>
      <c r="D86" t="s">
        <v>90</v>
      </c>
      <c r="E86" t="s">
        <v>10</v>
      </c>
    </row>
    <row r="87" spans="1:9" hidden="1" x14ac:dyDescent="0.3">
      <c r="A87" t="s">
        <v>38</v>
      </c>
      <c r="B87" s="4" t="s">
        <v>76</v>
      </c>
      <c r="C87">
        <v>0</v>
      </c>
      <c r="D87" t="s">
        <v>90</v>
      </c>
      <c r="E87" t="s">
        <v>10</v>
      </c>
    </row>
    <row r="88" spans="1:9" hidden="1" x14ac:dyDescent="0.3">
      <c r="A88" t="s">
        <v>64</v>
      </c>
      <c r="B88" s="4" t="s">
        <v>85</v>
      </c>
      <c r="C88">
        <f>(74078.1)/1000000</f>
        <v>7.4078100000000008E-2</v>
      </c>
      <c r="D88" t="s">
        <v>90</v>
      </c>
      <c r="E88" t="s">
        <v>10</v>
      </c>
    </row>
    <row r="89" spans="1:9" hidden="1" x14ac:dyDescent="0.3">
      <c r="A89" t="s">
        <v>65</v>
      </c>
      <c r="B89" s="4" t="s">
        <v>85</v>
      </c>
      <c r="C89">
        <f>(70000)/1000000</f>
        <v>7.0000000000000007E-2</v>
      </c>
      <c r="D89" t="s">
        <v>90</v>
      </c>
      <c r="E89" t="s">
        <v>10</v>
      </c>
    </row>
    <row r="90" spans="1:9" hidden="1" x14ac:dyDescent="0.3">
      <c r="A90" t="s">
        <v>66</v>
      </c>
      <c r="B90" s="4" t="s">
        <v>85</v>
      </c>
      <c r="C90">
        <f>(71500)/1000000</f>
        <v>7.1499999999999994E-2</v>
      </c>
      <c r="D90" t="s">
        <v>90</v>
      </c>
      <c r="E90" t="s">
        <v>10</v>
      </c>
    </row>
    <row r="91" spans="1:9" ht="15" hidden="1" customHeight="1" x14ac:dyDescent="0.3">
      <c r="A91" t="s">
        <v>67</v>
      </c>
      <c r="B91" s="4" t="s">
        <v>85</v>
      </c>
      <c r="C91">
        <f>(70024.8)/1000000</f>
        <v>7.0024799999999998E-2</v>
      </c>
      <c r="D91" t="s">
        <v>90</v>
      </c>
      <c r="E91" t="s">
        <v>10</v>
      </c>
    </row>
    <row r="92" spans="1:9" hidden="1" x14ac:dyDescent="0.3">
      <c r="A92" t="s">
        <v>8</v>
      </c>
      <c r="B92" s="4" t="s">
        <v>77</v>
      </c>
      <c r="C92">
        <f>(0.0000101487778958555)</f>
        <v>1.01487778958555E-5</v>
      </c>
      <c r="D92" t="s">
        <v>91</v>
      </c>
      <c r="E92" t="s">
        <v>10</v>
      </c>
    </row>
    <row r="93" spans="1:9" hidden="1" x14ac:dyDescent="0.3">
      <c r="A93" t="s">
        <v>11</v>
      </c>
      <c r="B93" s="4" t="s">
        <v>77</v>
      </c>
      <c r="C93" s="18">
        <f>(10)/1000000</f>
        <v>1.0000000000000001E-5</v>
      </c>
      <c r="D93" t="s">
        <v>91</v>
      </c>
      <c r="E93" t="s">
        <v>42</v>
      </c>
    </row>
    <row r="94" spans="1:9" hidden="1" x14ac:dyDescent="0.3">
      <c r="A94" t="s">
        <v>12</v>
      </c>
      <c r="B94" s="4" t="s">
        <v>77</v>
      </c>
      <c r="C94">
        <v>0</v>
      </c>
      <c r="D94" t="s">
        <v>91</v>
      </c>
      <c r="E94" t="s">
        <v>10</v>
      </c>
    </row>
    <row r="95" spans="1:9" hidden="1" x14ac:dyDescent="0.3">
      <c r="A95" t="s">
        <v>13</v>
      </c>
      <c r="B95" s="4" t="s">
        <v>77</v>
      </c>
      <c r="C95">
        <f>(0.0000103314422215587)</f>
        <v>1.03314422215587E-5</v>
      </c>
      <c r="D95" t="s">
        <v>91</v>
      </c>
      <c r="E95" t="s">
        <v>10</v>
      </c>
      <c r="I95" s="11"/>
    </row>
    <row r="96" spans="1:9" hidden="1" x14ac:dyDescent="0.3">
      <c r="A96" t="s">
        <v>14</v>
      </c>
      <c r="B96" s="4" t="s">
        <v>77</v>
      </c>
      <c r="C96" s="18">
        <f>(10)/1000000</f>
        <v>1.0000000000000001E-5</v>
      </c>
      <c r="D96" t="s">
        <v>91</v>
      </c>
      <c r="E96" t="s">
        <v>42</v>
      </c>
    </row>
    <row r="97" spans="1:9" hidden="1" x14ac:dyDescent="0.3">
      <c r="A97" t="s">
        <v>15</v>
      </c>
      <c r="B97" s="4" t="s">
        <v>77</v>
      </c>
      <c r="C97">
        <f>(5.41277258566978E-06)</f>
        <v>5.4127725856697803E-6</v>
      </c>
      <c r="D97" t="s">
        <v>91</v>
      </c>
      <c r="E97" t="s">
        <v>10</v>
      </c>
    </row>
    <row r="98" spans="1:9" hidden="1" x14ac:dyDescent="0.3">
      <c r="A98" t="s">
        <v>16</v>
      </c>
      <c r="B98" s="4" t="s">
        <v>77</v>
      </c>
      <c r="C98">
        <f>(0.0000101487778958555)</f>
        <v>1.01487778958555E-5</v>
      </c>
      <c r="D98" t="s">
        <v>91</v>
      </c>
      <c r="E98" t="s">
        <v>10</v>
      </c>
    </row>
    <row r="99" spans="1:9" hidden="1" x14ac:dyDescent="0.3">
      <c r="A99" t="s">
        <v>17</v>
      </c>
      <c r="B99" s="4" t="s">
        <v>77</v>
      </c>
      <c r="C99">
        <v>0</v>
      </c>
      <c r="D99" t="s">
        <v>91</v>
      </c>
      <c r="E99" t="s">
        <v>10</v>
      </c>
    </row>
    <row r="100" spans="1:9" hidden="1" x14ac:dyDescent="0.3">
      <c r="A100" t="s">
        <v>18</v>
      </c>
      <c r="B100" s="4" t="s">
        <v>77</v>
      </c>
      <c r="C100">
        <f>(3)/1000000</f>
        <v>3.0000000000000001E-6</v>
      </c>
      <c r="D100" t="s">
        <v>91</v>
      </c>
      <c r="E100" t="s">
        <v>41</v>
      </c>
    </row>
    <row r="101" spans="1:9" hidden="1" x14ac:dyDescent="0.3">
      <c r="A101" t="s">
        <v>19</v>
      </c>
      <c r="B101" s="4" t="s">
        <v>77</v>
      </c>
      <c r="C101" s="5">
        <f>(0.0000103314422215587)</f>
        <v>1.03314422215587E-5</v>
      </c>
      <c r="D101" t="s">
        <v>91</v>
      </c>
      <c r="E101" t="s">
        <v>10</v>
      </c>
    </row>
    <row r="102" spans="1:9" hidden="1" x14ac:dyDescent="0.3">
      <c r="A102" t="s">
        <v>20</v>
      </c>
      <c r="B102" s="4" t="s">
        <v>77</v>
      </c>
      <c r="C102">
        <f>+(5.41277258566978E-06)</f>
        <v>5.4127725856697803E-6</v>
      </c>
      <c r="D102" t="s">
        <v>91</v>
      </c>
      <c r="E102" t="s">
        <v>10</v>
      </c>
    </row>
    <row r="103" spans="1:9" hidden="1" x14ac:dyDescent="0.3">
      <c r="A103" t="s">
        <v>21</v>
      </c>
      <c r="B103" s="4" t="s">
        <v>77</v>
      </c>
      <c r="C103">
        <f>(3.24123273113709E-06)</f>
        <v>3.24123273113709E-6</v>
      </c>
      <c r="D103" t="s">
        <v>91</v>
      </c>
      <c r="E103" t="s">
        <v>10</v>
      </c>
      <c r="I103" s="11"/>
    </row>
    <row r="104" spans="1:9" hidden="1" x14ac:dyDescent="0.3">
      <c r="A104" t="s">
        <v>22</v>
      </c>
      <c r="B104" s="4" t="s">
        <v>77</v>
      </c>
      <c r="C104" s="5">
        <f>(3)/1000000</f>
        <v>3.0000000000000001E-6</v>
      </c>
      <c r="D104" t="s">
        <v>91</v>
      </c>
      <c r="E104" t="s">
        <v>42</v>
      </c>
    </row>
    <row r="105" spans="1:9" hidden="1" x14ac:dyDescent="0.3">
      <c r="A105" t="s">
        <v>23</v>
      </c>
      <c r="B105" s="4" t="s">
        <v>77</v>
      </c>
      <c r="C105">
        <v>0</v>
      </c>
      <c r="D105" t="s">
        <v>91</v>
      </c>
      <c r="E105" t="s">
        <v>10</v>
      </c>
    </row>
    <row r="106" spans="1:9" hidden="1" x14ac:dyDescent="0.3">
      <c r="A106" t="s">
        <v>24</v>
      </c>
      <c r="B106" s="4" t="s">
        <v>77</v>
      </c>
      <c r="C106">
        <f>(3)/1000000</f>
        <v>3.0000000000000001E-6</v>
      </c>
      <c r="D106" t="s">
        <v>91</v>
      </c>
      <c r="E106" t="s">
        <v>41</v>
      </c>
    </row>
    <row r="107" spans="1:9" hidden="1" x14ac:dyDescent="0.3">
      <c r="A107" t="s">
        <v>25</v>
      </c>
      <c r="B107" s="4" t="s">
        <v>77</v>
      </c>
      <c r="C107">
        <f>(3.31442221558674E-06)</f>
        <v>3.3144222155867399E-6</v>
      </c>
      <c r="D107" t="s">
        <v>91</v>
      </c>
      <c r="E107" t="s">
        <v>10</v>
      </c>
      <c r="H107" s="11"/>
    </row>
    <row r="108" spans="1:9" hidden="1" x14ac:dyDescent="0.3">
      <c r="A108" t="s">
        <v>26</v>
      </c>
      <c r="B108" s="4" t="s">
        <v>77</v>
      </c>
      <c r="C108" s="5">
        <f>(3)/1000000</f>
        <v>3.0000000000000001E-6</v>
      </c>
      <c r="D108" t="s">
        <v>91</v>
      </c>
      <c r="E108" t="s">
        <v>42</v>
      </c>
    </row>
    <row r="109" spans="1:9" hidden="1" x14ac:dyDescent="0.3">
      <c r="A109" t="s">
        <v>27</v>
      </c>
      <c r="B109" s="4" t="s">
        <v>77</v>
      </c>
      <c r="C109">
        <v>0</v>
      </c>
      <c r="D109" t="s">
        <v>91</v>
      </c>
      <c r="E109" t="s">
        <v>10</v>
      </c>
      <c r="H109" s="11"/>
    </row>
    <row r="110" spans="1:9" hidden="1" x14ac:dyDescent="0.3">
      <c r="A110" s="5" t="s">
        <v>28</v>
      </c>
      <c r="B110" s="4" t="s">
        <v>77</v>
      </c>
      <c r="C110" s="5">
        <f>(3)/1000000</f>
        <v>3.0000000000000001E-6</v>
      </c>
      <c r="D110" t="s">
        <v>91</v>
      </c>
      <c r="E110" t="s">
        <v>41</v>
      </c>
    </row>
    <row r="111" spans="1:9" hidden="1" x14ac:dyDescent="0.3">
      <c r="A111" t="s">
        <v>29</v>
      </c>
      <c r="B111" s="4" t="s">
        <v>77</v>
      </c>
      <c r="C111">
        <f>+(1.05140186915888E-06)</f>
        <v>1.05140186915888E-6</v>
      </c>
      <c r="D111" t="s">
        <v>91</v>
      </c>
      <c r="E111" t="s">
        <v>10</v>
      </c>
    </row>
    <row r="112" spans="1:9" hidden="1" x14ac:dyDescent="0.3">
      <c r="A112" s="5" t="s">
        <v>30</v>
      </c>
      <c r="B112" s="4" t="s">
        <v>77</v>
      </c>
      <c r="C112" s="5">
        <f>+(30)/1000000</f>
        <v>3.0000000000000001E-5</v>
      </c>
      <c r="D112" t="s">
        <v>91</v>
      </c>
      <c r="E112" t="s">
        <v>42</v>
      </c>
    </row>
    <row r="113" spans="1:5" hidden="1" x14ac:dyDescent="0.3">
      <c r="A113" s="5" t="s">
        <v>31</v>
      </c>
      <c r="B113" s="4" t="s">
        <v>77</v>
      </c>
      <c r="C113" s="5">
        <f>+(30)/1000000</f>
        <v>3.0000000000000001E-5</v>
      </c>
      <c r="D113" t="s">
        <v>91</v>
      </c>
      <c r="E113" t="s">
        <v>42</v>
      </c>
    </row>
    <row r="114" spans="1:5" hidden="1" x14ac:dyDescent="0.3">
      <c r="A114" s="5" t="s">
        <v>32</v>
      </c>
      <c r="B114" s="4" t="s">
        <v>77</v>
      </c>
      <c r="C114" s="5">
        <f>(10)/1000000</f>
        <v>1.0000000000000001E-5</v>
      </c>
      <c r="D114" t="s">
        <v>91</v>
      </c>
      <c r="E114" t="s">
        <v>41</v>
      </c>
    </row>
    <row r="115" spans="1:5" hidden="1" x14ac:dyDescent="0.3">
      <c r="A115" s="5" t="s">
        <v>33</v>
      </c>
      <c r="B115" s="4" t="s">
        <v>77</v>
      </c>
      <c r="C115">
        <f>+(30)/1000000</f>
        <v>3.0000000000000001E-5</v>
      </c>
      <c r="D115" t="s">
        <v>91</v>
      </c>
      <c r="E115" t="s">
        <v>41</v>
      </c>
    </row>
    <row r="116" spans="1:5" hidden="1" x14ac:dyDescent="0.3">
      <c r="A116" t="s">
        <v>34</v>
      </c>
      <c r="B116" s="4" t="s">
        <v>77</v>
      </c>
      <c r="C116">
        <v>0</v>
      </c>
      <c r="D116" t="s">
        <v>91</v>
      </c>
      <c r="E116" t="s">
        <v>10</v>
      </c>
    </row>
    <row r="117" spans="1:5" hidden="1" x14ac:dyDescent="0.3">
      <c r="A117" t="s">
        <v>35</v>
      </c>
      <c r="B117" s="4" t="s">
        <v>77</v>
      </c>
      <c r="C117">
        <f>+(5.41277258566978E-06)</f>
        <v>5.4127725856697803E-6</v>
      </c>
      <c r="D117" t="s">
        <v>91</v>
      </c>
      <c r="E117" t="s">
        <v>10</v>
      </c>
    </row>
    <row r="118" spans="1:5" hidden="1" x14ac:dyDescent="0.3">
      <c r="A118" t="s">
        <v>36</v>
      </c>
      <c r="B118" s="4" t="s">
        <v>77</v>
      </c>
      <c r="C118">
        <v>0</v>
      </c>
      <c r="D118" t="s">
        <v>91</v>
      </c>
      <c r="E118" t="s">
        <v>10</v>
      </c>
    </row>
    <row r="119" spans="1:5" hidden="1" x14ac:dyDescent="0.3">
      <c r="A119" t="s">
        <v>63</v>
      </c>
      <c r="B119" s="4" t="s">
        <v>77</v>
      </c>
      <c r="C119">
        <f>+(300)/1000000</f>
        <v>2.9999999999999997E-4</v>
      </c>
      <c r="D119" t="s">
        <v>91</v>
      </c>
      <c r="E119" t="s">
        <v>41</v>
      </c>
    </row>
    <row r="120" spans="1:5" hidden="1" x14ac:dyDescent="0.3">
      <c r="A120" s="5" t="s">
        <v>37</v>
      </c>
      <c r="B120" s="4" t="s">
        <v>77</v>
      </c>
      <c r="C120" s="5">
        <v>0</v>
      </c>
      <c r="D120" t="s">
        <v>91</v>
      </c>
      <c r="E120" t="s">
        <v>10</v>
      </c>
    </row>
    <row r="121" spans="1:5" hidden="1" x14ac:dyDescent="0.3">
      <c r="A121" t="s">
        <v>38</v>
      </c>
      <c r="B121" s="4" t="s">
        <v>77</v>
      </c>
      <c r="C121">
        <v>0</v>
      </c>
      <c r="D121" t="s">
        <v>91</v>
      </c>
      <c r="E121" t="s">
        <v>10</v>
      </c>
    </row>
    <row r="122" spans="1:5" hidden="1" x14ac:dyDescent="0.3">
      <c r="A122" t="s">
        <v>64</v>
      </c>
      <c r="B122" s="4" t="s">
        <v>86</v>
      </c>
      <c r="C122">
        <f>(3.9)/1000000</f>
        <v>3.8999999999999999E-6</v>
      </c>
      <c r="D122" t="s">
        <v>91</v>
      </c>
      <c r="E122" t="s">
        <v>10</v>
      </c>
    </row>
    <row r="123" spans="1:5" hidden="1" x14ac:dyDescent="0.3">
      <c r="A123" t="s">
        <v>65</v>
      </c>
      <c r="B123" s="4" t="s">
        <v>86</v>
      </c>
      <c r="C123">
        <f>(0.5)/1000000</f>
        <v>4.9999999999999998E-7</v>
      </c>
      <c r="D123" t="s">
        <v>91</v>
      </c>
      <c r="E123" t="s">
        <v>10</v>
      </c>
    </row>
    <row r="124" spans="1:5" hidden="1" x14ac:dyDescent="0.3">
      <c r="A124" t="s">
        <v>66</v>
      </c>
      <c r="B124" s="4" t="s">
        <v>86</v>
      </c>
      <c r="C124">
        <f>(0.5)/1000000</f>
        <v>4.9999999999999998E-7</v>
      </c>
      <c r="D124" t="s">
        <v>91</v>
      </c>
      <c r="E124" t="s">
        <v>10</v>
      </c>
    </row>
    <row r="125" spans="1:5" ht="15" hidden="1" customHeight="1" x14ac:dyDescent="0.3">
      <c r="A125" t="s">
        <v>67</v>
      </c>
      <c r="B125" s="4" t="s">
        <v>86</v>
      </c>
      <c r="C125">
        <f>(80)/1000000</f>
        <v>8.0000000000000007E-5</v>
      </c>
      <c r="D125" t="s">
        <v>91</v>
      </c>
      <c r="E125" t="s">
        <v>10</v>
      </c>
    </row>
    <row r="126" spans="1:5" hidden="1" x14ac:dyDescent="0.3">
      <c r="A126" t="s">
        <v>8</v>
      </c>
      <c r="B126" s="4" t="s">
        <v>78</v>
      </c>
      <c r="C126">
        <f>(6.48777895855473E-07)</f>
        <v>6.48777895855473E-7</v>
      </c>
      <c r="D126" t="s">
        <v>92</v>
      </c>
      <c r="E126" t="s">
        <v>10</v>
      </c>
    </row>
    <row r="127" spans="1:5" hidden="1" x14ac:dyDescent="0.3">
      <c r="A127" t="s">
        <v>11</v>
      </c>
      <c r="B127" s="4" t="s">
        <v>78</v>
      </c>
      <c r="C127" s="5">
        <f>(0.6)/1000000</f>
        <v>5.9999999999999997E-7</v>
      </c>
      <c r="D127" t="s">
        <v>92</v>
      </c>
      <c r="E127" t="s">
        <v>42</v>
      </c>
    </row>
    <row r="128" spans="1:5" hidden="1" x14ac:dyDescent="0.3">
      <c r="A128" t="s">
        <v>12</v>
      </c>
      <c r="B128" s="4" t="s">
        <v>78</v>
      </c>
      <c r="C128">
        <v>0</v>
      </c>
      <c r="D128" t="s">
        <v>92</v>
      </c>
      <c r="E128" t="s">
        <v>10</v>
      </c>
    </row>
    <row r="129" spans="1:9" hidden="1" x14ac:dyDescent="0.3">
      <c r="A129" t="s">
        <v>13</v>
      </c>
      <c r="B129" s="4" t="s">
        <v>78</v>
      </c>
      <c r="C129">
        <f>(6.60197073753359E-07)</f>
        <v>6.6019707375335896E-7</v>
      </c>
      <c r="D129" t="s">
        <v>92</v>
      </c>
      <c r="E129" t="s">
        <v>10</v>
      </c>
      <c r="I129" s="11"/>
    </row>
    <row r="130" spans="1:9" hidden="1" x14ac:dyDescent="0.3">
      <c r="A130" t="s">
        <v>14</v>
      </c>
      <c r="B130" s="4" t="s">
        <v>78</v>
      </c>
      <c r="C130" s="5">
        <f>(0.6)/1000000</f>
        <v>5.9999999999999997E-7</v>
      </c>
      <c r="D130" t="s">
        <v>92</v>
      </c>
      <c r="E130" t="s">
        <v>10</v>
      </c>
    </row>
    <row r="131" spans="1:9" hidden="1" x14ac:dyDescent="0.3">
      <c r="A131" t="s">
        <v>15</v>
      </c>
      <c r="B131" s="4" t="s">
        <v>78</v>
      </c>
      <c r="C131">
        <f>+(1.06892523364486E-07)</f>
        <v>1.06892523364486E-7</v>
      </c>
      <c r="D131" t="s">
        <v>92</v>
      </c>
      <c r="E131" t="s">
        <v>10</v>
      </c>
    </row>
    <row r="132" spans="1:9" hidden="1" x14ac:dyDescent="0.3">
      <c r="A132" t="s">
        <v>16</v>
      </c>
      <c r="B132" s="4" t="s">
        <v>78</v>
      </c>
      <c r="C132">
        <f>(6.48777895855473E-07)</f>
        <v>6.48777895855473E-7</v>
      </c>
      <c r="D132" t="s">
        <v>92</v>
      </c>
      <c r="E132" t="s">
        <v>10</v>
      </c>
    </row>
    <row r="133" spans="1:9" hidden="1" x14ac:dyDescent="0.3">
      <c r="A133" t="s">
        <v>17</v>
      </c>
      <c r="B133" s="4" t="s">
        <v>78</v>
      </c>
      <c r="C133">
        <v>0</v>
      </c>
      <c r="D133" t="s">
        <v>92</v>
      </c>
      <c r="E133" t="s">
        <v>10</v>
      </c>
    </row>
    <row r="134" spans="1:9" hidden="1" x14ac:dyDescent="0.3">
      <c r="A134" t="s">
        <v>18</v>
      </c>
      <c r="B134" s="4" t="s">
        <v>78</v>
      </c>
      <c r="C134">
        <f>(0.6)/1000000</f>
        <v>5.9999999999999997E-7</v>
      </c>
      <c r="D134" t="s">
        <v>92</v>
      </c>
      <c r="E134" t="s">
        <v>41</v>
      </c>
    </row>
    <row r="135" spans="1:9" hidden="1" x14ac:dyDescent="0.3">
      <c r="A135" t="s">
        <v>19</v>
      </c>
      <c r="B135" s="4" t="s">
        <v>78</v>
      </c>
      <c r="C135" s="5">
        <f>(6.60197073753359E-07)</f>
        <v>6.6019707375335896E-7</v>
      </c>
      <c r="D135" t="s">
        <v>92</v>
      </c>
      <c r="E135" t="s">
        <v>10</v>
      </c>
    </row>
    <row r="136" spans="1:9" hidden="1" x14ac:dyDescent="0.3">
      <c r="A136" t="s">
        <v>20</v>
      </c>
      <c r="B136" s="4" t="s">
        <v>78</v>
      </c>
      <c r="C136">
        <f>+(1.06892523364486E-07)</f>
        <v>1.06892523364486E-7</v>
      </c>
      <c r="D136" t="s">
        <v>92</v>
      </c>
      <c r="E136" t="s">
        <v>10</v>
      </c>
    </row>
    <row r="137" spans="1:9" hidden="1" x14ac:dyDescent="0.3">
      <c r="A137" t="s">
        <v>21</v>
      </c>
      <c r="B137" s="4" t="s">
        <v>78</v>
      </c>
      <c r="C137">
        <f>(6.48777895855473E-07)</f>
        <v>6.48777895855473E-7</v>
      </c>
      <c r="D137" t="s">
        <v>92</v>
      </c>
      <c r="E137" t="s">
        <v>10</v>
      </c>
      <c r="I137" s="11"/>
    </row>
    <row r="138" spans="1:9" hidden="1" x14ac:dyDescent="0.3">
      <c r="A138" t="s">
        <v>22</v>
      </c>
      <c r="B138" s="4" t="s">
        <v>78</v>
      </c>
      <c r="C138" s="5">
        <f>(0.6)/1000000</f>
        <v>5.9999999999999997E-7</v>
      </c>
      <c r="D138" t="s">
        <v>92</v>
      </c>
      <c r="E138" t="s">
        <v>42</v>
      </c>
    </row>
    <row r="139" spans="1:9" hidden="1" x14ac:dyDescent="0.3">
      <c r="A139" t="s">
        <v>23</v>
      </c>
      <c r="B139" s="4" t="s">
        <v>78</v>
      </c>
      <c r="C139">
        <v>0</v>
      </c>
      <c r="D139" t="s">
        <v>92</v>
      </c>
      <c r="E139" t="s">
        <v>10</v>
      </c>
    </row>
    <row r="140" spans="1:9" hidden="1" x14ac:dyDescent="0.3">
      <c r="A140" t="s">
        <v>24</v>
      </c>
      <c r="B140" s="4" t="s">
        <v>78</v>
      </c>
      <c r="C140">
        <f>(0.6)/1000000</f>
        <v>5.9999999999999997E-7</v>
      </c>
      <c r="D140" t="s">
        <v>92</v>
      </c>
      <c r="E140" t="s">
        <v>41</v>
      </c>
    </row>
    <row r="141" spans="1:9" hidden="1" x14ac:dyDescent="0.3">
      <c r="A141" t="s">
        <v>25</v>
      </c>
      <c r="B141" s="4" t="s">
        <v>78</v>
      </c>
      <c r="C141">
        <f>(6.60197073753359E-07)</f>
        <v>6.6019707375335896E-7</v>
      </c>
      <c r="D141" t="s">
        <v>92</v>
      </c>
      <c r="E141" t="s">
        <v>10</v>
      </c>
      <c r="H141" s="11"/>
    </row>
    <row r="142" spans="1:9" hidden="1" x14ac:dyDescent="0.3">
      <c r="A142" t="s">
        <v>26</v>
      </c>
      <c r="B142" s="4" t="s">
        <v>78</v>
      </c>
      <c r="C142" s="5">
        <f>(0.6)/1000000</f>
        <v>5.9999999999999997E-7</v>
      </c>
      <c r="D142" t="s">
        <v>92</v>
      </c>
      <c r="E142" t="s">
        <v>42</v>
      </c>
    </row>
    <row r="143" spans="1:9" hidden="1" x14ac:dyDescent="0.3">
      <c r="A143" t="s">
        <v>27</v>
      </c>
      <c r="B143" s="4" t="s">
        <v>78</v>
      </c>
      <c r="C143">
        <v>0</v>
      </c>
      <c r="D143" t="s">
        <v>92</v>
      </c>
      <c r="E143" t="s">
        <v>10</v>
      </c>
      <c r="H143" s="11"/>
    </row>
    <row r="144" spans="1:9" hidden="1" x14ac:dyDescent="0.3">
      <c r="A144" s="5" t="s">
        <v>28</v>
      </c>
      <c r="B144" s="4" t="s">
        <v>78</v>
      </c>
      <c r="C144" s="5">
        <f>(0.6)/1000000</f>
        <v>5.9999999999999997E-7</v>
      </c>
      <c r="D144" t="s">
        <v>92</v>
      </c>
      <c r="E144" t="s">
        <v>41</v>
      </c>
    </row>
    <row r="145" spans="1:5" hidden="1" x14ac:dyDescent="0.3">
      <c r="A145" t="s">
        <v>29</v>
      </c>
      <c r="B145" s="4" t="s">
        <v>78</v>
      </c>
      <c r="C145">
        <f>+(1.06892523364486E-07)</f>
        <v>1.06892523364486E-7</v>
      </c>
      <c r="D145" t="s">
        <v>92</v>
      </c>
      <c r="E145" t="s">
        <v>10</v>
      </c>
    </row>
    <row r="146" spans="1:5" hidden="1" x14ac:dyDescent="0.3">
      <c r="A146" s="5" t="s">
        <v>30</v>
      </c>
      <c r="B146" s="4" t="s">
        <v>78</v>
      </c>
      <c r="C146" s="5">
        <f>+(4)/1000000</f>
        <v>3.9999999999999998E-6</v>
      </c>
      <c r="D146" t="s">
        <v>92</v>
      </c>
      <c r="E146" t="s">
        <v>42</v>
      </c>
    </row>
    <row r="147" spans="1:5" hidden="1" x14ac:dyDescent="0.3">
      <c r="A147" s="5" t="s">
        <v>31</v>
      </c>
      <c r="B147" s="4" t="s">
        <v>78</v>
      </c>
      <c r="C147" s="5">
        <f>+(4)/1000000</f>
        <v>3.9999999999999998E-6</v>
      </c>
      <c r="D147" t="s">
        <v>92</v>
      </c>
      <c r="E147" t="s">
        <v>42</v>
      </c>
    </row>
    <row r="148" spans="1:5" hidden="1" x14ac:dyDescent="0.3">
      <c r="A148" s="5" t="s">
        <v>32</v>
      </c>
      <c r="B148" s="4" t="s">
        <v>78</v>
      </c>
      <c r="C148" s="5">
        <f>(1.5)/1000000</f>
        <v>1.5E-6</v>
      </c>
      <c r="D148" t="s">
        <v>92</v>
      </c>
      <c r="E148" t="s">
        <v>41</v>
      </c>
    </row>
    <row r="149" spans="1:5" hidden="1" x14ac:dyDescent="0.3">
      <c r="A149" s="5" t="s">
        <v>33</v>
      </c>
      <c r="B149" s="4" t="s">
        <v>78</v>
      </c>
      <c r="C149">
        <f>+(4)/1000000</f>
        <v>3.9999999999999998E-6</v>
      </c>
      <c r="D149" t="s">
        <v>92</v>
      </c>
      <c r="E149" t="s">
        <v>41</v>
      </c>
    </row>
    <row r="150" spans="1:5" hidden="1" x14ac:dyDescent="0.3">
      <c r="A150" t="s">
        <v>34</v>
      </c>
      <c r="B150" s="4" t="s">
        <v>78</v>
      </c>
      <c r="C150">
        <v>0</v>
      </c>
      <c r="D150" t="s">
        <v>92</v>
      </c>
      <c r="E150" t="s">
        <v>10</v>
      </c>
    </row>
    <row r="151" spans="1:5" hidden="1" x14ac:dyDescent="0.3">
      <c r="A151" t="s">
        <v>35</v>
      </c>
      <c r="B151" s="4" t="s">
        <v>78</v>
      </c>
      <c r="C151">
        <f>+(1.06892523364486E-07)</f>
        <v>1.06892523364486E-7</v>
      </c>
      <c r="D151" t="s">
        <v>92</v>
      </c>
      <c r="E151" t="s">
        <v>10</v>
      </c>
    </row>
    <row r="152" spans="1:5" hidden="1" x14ac:dyDescent="0.3">
      <c r="A152" t="s">
        <v>36</v>
      </c>
      <c r="B152" s="4" t="s">
        <v>78</v>
      </c>
      <c r="C152">
        <v>0</v>
      </c>
      <c r="D152" t="s">
        <v>92</v>
      </c>
      <c r="E152" t="s">
        <v>10</v>
      </c>
    </row>
    <row r="153" spans="1:5" hidden="1" x14ac:dyDescent="0.3">
      <c r="A153" t="s">
        <v>63</v>
      </c>
      <c r="B153" s="4" t="s">
        <v>78</v>
      </c>
      <c r="C153">
        <f>+(4)/1000000</f>
        <v>3.9999999999999998E-6</v>
      </c>
      <c r="D153" t="s">
        <v>92</v>
      </c>
      <c r="E153" t="s">
        <v>41</v>
      </c>
    </row>
    <row r="154" spans="1:5" hidden="1" x14ac:dyDescent="0.3">
      <c r="A154" s="5" t="s">
        <v>37</v>
      </c>
      <c r="B154" s="4" t="s">
        <v>78</v>
      </c>
      <c r="C154" s="5">
        <v>0</v>
      </c>
      <c r="D154" t="s">
        <v>92</v>
      </c>
      <c r="E154" t="s">
        <v>10</v>
      </c>
    </row>
    <row r="155" spans="1:5" hidden="1" x14ac:dyDescent="0.3">
      <c r="A155" t="s">
        <v>38</v>
      </c>
      <c r="B155" s="4" t="s">
        <v>78</v>
      </c>
      <c r="C155">
        <v>0</v>
      </c>
      <c r="D155" t="s">
        <v>92</v>
      </c>
      <c r="E155" t="s">
        <v>10</v>
      </c>
    </row>
    <row r="156" spans="1:5" hidden="1" x14ac:dyDescent="0.3">
      <c r="A156" t="s">
        <v>64</v>
      </c>
      <c r="B156" s="4" t="s">
        <v>87</v>
      </c>
      <c r="C156">
        <f>(3.9)/1000000</f>
        <v>3.8999999999999999E-6</v>
      </c>
      <c r="D156" t="s">
        <v>92</v>
      </c>
      <c r="E156" t="s">
        <v>10</v>
      </c>
    </row>
    <row r="157" spans="1:5" hidden="1" x14ac:dyDescent="0.3">
      <c r="A157" t="s">
        <v>65</v>
      </c>
      <c r="B157" s="4" t="s">
        <v>87</v>
      </c>
      <c r="C157">
        <f>(2)/1000000</f>
        <v>1.9999999999999999E-6</v>
      </c>
      <c r="D157" t="s">
        <v>92</v>
      </c>
      <c r="E157" t="s">
        <v>10</v>
      </c>
    </row>
    <row r="158" spans="1:5" hidden="1" x14ac:dyDescent="0.3">
      <c r="A158" t="s">
        <v>66</v>
      </c>
      <c r="B158" s="4" t="s">
        <v>87</v>
      </c>
      <c r="C158">
        <f>(2)/1000000</f>
        <v>1.9999999999999999E-6</v>
      </c>
      <c r="D158" t="s">
        <v>92</v>
      </c>
      <c r="E158" t="s">
        <v>10</v>
      </c>
    </row>
    <row r="159" spans="1:5" ht="15" hidden="1" customHeight="1" x14ac:dyDescent="0.3">
      <c r="A159" t="s">
        <v>67</v>
      </c>
      <c r="B159" s="4" t="s">
        <v>87</v>
      </c>
      <c r="C159">
        <f>(2)/1000000</f>
        <v>1.9999999999999999E-6</v>
      </c>
      <c r="D159" t="s">
        <v>92</v>
      </c>
      <c r="E159" t="s">
        <v>10</v>
      </c>
    </row>
    <row r="160" spans="1:5" hidden="1" x14ac:dyDescent="0.3">
      <c r="A160" t="s">
        <v>8</v>
      </c>
      <c r="B160" s="4" t="s">
        <v>79</v>
      </c>
      <c r="C160">
        <f>(0.8)/1000000</f>
        <v>8.0000000000000007E-7</v>
      </c>
      <c r="D160" t="s">
        <v>93</v>
      </c>
      <c r="E160" t="s">
        <v>82</v>
      </c>
    </row>
    <row r="161" spans="1:9" hidden="1" x14ac:dyDescent="0.3">
      <c r="A161" t="s">
        <v>11</v>
      </c>
      <c r="B161" s="4" t="s">
        <v>79</v>
      </c>
      <c r="C161" s="5">
        <f>(0.8)/1000000</f>
        <v>8.0000000000000007E-7</v>
      </c>
      <c r="D161" t="s">
        <v>93</v>
      </c>
      <c r="E161" t="s">
        <v>82</v>
      </c>
    </row>
    <row r="162" spans="1:9" hidden="1" x14ac:dyDescent="0.3">
      <c r="A162" t="s">
        <v>12</v>
      </c>
      <c r="B162" s="4" t="s">
        <v>79</v>
      </c>
      <c r="C162">
        <v>0</v>
      </c>
      <c r="D162" t="s">
        <v>93</v>
      </c>
    </row>
    <row r="163" spans="1:9" hidden="1" x14ac:dyDescent="0.3">
      <c r="A163" t="s">
        <v>13</v>
      </c>
      <c r="B163" s="4" t="s">
        <v>79</v>
      </c>
      <c r="C163" s="5">
        <v>0</v>
      </c>
      <c r="D163" t="s">
        <v>93</v>
      </c>
      <c r="I163" s="11"/>
    </row>
    <row r="164" spans="1:9" hidden="1" x14ac:dyDescent="0.3">
      <c r="A164" t="s">
        <v>14</v>
      </c>
      <c r="B164" s="4" t="s">
        <v>79</v>
      </c>
      <c r="C164" s="5">
        <v>0</v>
      </c>
      <c r="D164" t="s">
        <v>93</v>
      </c>
    </row>
    <row r="165" spans="1:9" hidden="1" x14ac:dyDescent="0.3">
      <c r="A165" t="s">
        <v>15</v>
      </c>
      <c r="B165" s="4" t="s">
        <v>79</v>
      </c>
      <c r="C165">
        <f>+(0.14)/1000000</f>
        <v>1.4000000000000001E-7</v>
      </c>
      <c r="D165" t="s">
        <v>93</v>
      </c>
      <c r="E165" t="s">
        <v>81</v>
      </c>
    </row>
    <row r="166" spans="1:9" hidden="1" x14ac:dyDescent="0.3">
      <c r="A166" t="s">
        <v>16</v>
      </c>
      <c r="B166" s="4" t="s">
        <v>79</v>
      </c>
      <c r="C166">
        <f>(0.8)/1000000</f>
        <v>8.0000000000000007E-7</v>
      </c>
      <c r="D166" t="s">
        <v>93</v>
      </c>
      <c r="E166" t="s">
        <v>82</v>
      </c>
    </row>
    <row r="167" spans="1:9" hidden="1" x14ac:dyDescent="0.3">
      <c r="A167" t="s">
        <v>17</v>
      </c>
      <c r="B167" s="4" t="s">
        <v>79</v>
      </c>
      <c r="C167">
        <v>0</v>
      </c>
      <c r="D167" t="s">
        <v>93</v>
      </c>
    </row>
    <row r="168" spans="1:9" hidden="1" x14ac:dyDescent="0.3">
      <c r="A168" t="s">
        <v>18</v>
      </c>
      <c r="B168" s="4" t="s">
        <v>79</v>
      </c>
      <c r="C168">
        <f>(19.3)/1000000</f>
        <v>1.9300000000000002E-5</v>
      </c>
      <c r="D168" t="s">
        <v>93</v>
      </c>
      <c r="E168" t="s">
        <v>80</v>
      </c>
    </row>
    <row r="169" spans="1:9" hidden="1" x14ac:dyDescent="0.3">
      <c r="A169" t="s">
        <v>19</v>
      </c>
      <c r="B169" s="4" t="s">
        <v>79</v>
      </c>
      <c r="C169" s="5">
        <v>0</v>
      </c>
      <c r="D169" t="s">
        <v>93</v>
      </c>
    </row>
    <row r="170" spans="1:9" hidden="1" x14ac:dyDescent="0.3">
      <c r="A170" t="s">
        <v>20</v>
      </c>
      <c r="B170" s="4" t="s">
        <v>79</v>
      </c>
      <c r="C170">
        <f>+(0.14)/1000000</f>
        <v>1.4000000000000001E-7</v>
      </c>
      <c r="D170" t="s">
        <v>93</v>
      </c>
      <c r="E170" t="s">
        <v>81</v>
      </c>
    </row>
    <row r="171" spans="1:9" hidden="1" x14ac:dyDescent="0.3">
      <c r="A171" t="s">
        <v>21</v>
      </c>
      <c r="B171" s="4" t="s">
        <v>79</v>
      </c>
      <c r="C171" s="5">
        <f>(0.8)/1000000</f>
        <v>8.0000000000000007E-7</v>
      </c>
      <c r="D171" t="s">
        <v>93</v>
      </c>
      <c r="E171" t="s">
        <v>82</v>
      </c>
      <c r="I171" s="11"/>
    </row>
    <row r="172" spans="1:9" hidden="1" x14ac:dyDescent="0.3">
      <c r="A172" t="s">
        <v>22</v>
      </c>
      <c r="B172" s="4" t="s">
        <v>79</v>
      </c>
      <c r="C172" s="5">
        <f>(0.8)/1000000</f>
        <v>8.0000000000000007E-7</v>
      </c>
      <c r="D172" t="s">
        <v>93</v>
      </c>
      <c r="E172" t="s">
        <v>82</v>
      </c>
    </row>
    <row r="173" spans="1:9" hidden="1" x14ac:dyDescent="0.3">
      <c r="A173" t="s">
        <v>23</v>
      </c>
      <c r="B173" s="4" t="s">
        <v>79</v>
      </c>
      <c r="C173">
        <v>0</v>
      </c>
      <c r="D173" t="s">
        <v>93</v>
      </c>
    </row>
    <row r="174" spans="1:9" hidden="1" x14ac:dyDescent="0.3">
      <c r="A174" t="s">
        <v>24</v>
      </c>
      <c r="B174" s="4" t="s">
        <v>79</v>
      </c>
      <c r="C174">
        <f>(19.3)/1000000</f>
        <v>1.9300000000000002E-5</v>
      </c>
      <c r="D174" t="s">
        <v>93</v>
      </c>
      <c r="E174" t="s">
        <v>80</v>
      </c>
    </row>
    <row r="175" spans="1:9" hidden="1" x14ac:dyDescent="0.3">
      <c r="A175" t="s">
        <v>25</v>
      </c>
      <c r="B175" s="4" t="s">
        <v>79</v>
      </c>
      <c r="C175">
        <v>0</v>
      </c>
      <c r="D175" t="s">
        <v>93</v>
      </c>
      <c r="H175" s="11"/>
    </row>
    <row r="176" spans="1:9" hidden="1" x14ac:dyDescent="0.3">
      <c r="A176" t="s">
        <v>26</v>
      </c>
      <c r="B176" s="4" t="s">
        <v>79</v>
      </c>
      <c r="C176" s="5">
        <v>0</v>
      </c>
      <c r="D176" t="s">
        <v>93</v>
      </c>
    </row>
    <row r="177" spans="1:8" hidden="1" x14ac:dyDescent="0.3">
      <c r="A177" t="s">
        <v>27</v>
      </c>
      <c r="B177" s="4" t="s">
        <v>79</v>
      </c>
      <c r="C177">
        <v>0</v>
      </c>
      <c r="D177" t="s">
        <v>93</v>
      </c>
      <c r="H177" s="11"/>
    </row>
    <row r="178" spans="1:8" hidden="1" x14ac:dyDescent="0.3">
      <c r="A178" s="5" t="s">
        <v>28</v>
      </c>
      <c r="B178" s="4" t="s">
        <v>79</v>
      </c>
      <c r="C178">
        <f>(19.3)/1000000</f>
        <v>1.9300000000000002E-5</v>
      </c>
      <c r="D178" t="s">
        <v>93</v>
      </c>
      <c r="E178" t="s">
        <v>80</v>
      </c>
    </row>
    <row r="179" spans="1:8" hidden="1" x14ac:dyDescent="0.3">
      <c r="A179" t="s">
        <v>29</v>
      </c>
      <c r="B179" s="4" t="s">
        <v>79</v>
      </c>
      <c r="C179">
        <f>+(0.14)/1000000</f>
        <v>1.4000000000000001E-7</v>
      </c>
      <c r="D179" t="s">
        <v>93</v>
      </c>
      <c r="E179" t="s">
        <v>81</v>
      </c>
    </row>
    <row r="180" spans="1:8" hidden="1" x14ac:dyDescent="0.3">
      <c r="A180" s="5" t="s">
        <v>30</v>
      </c>
      <c r="B180" s="4" t="s">
        <v>79</v>
      </c>
      <c r="C180" s="5">
        <f>133/1000000</f>
        <v>1.3300000000000001E-4</v>
      </c>
      <c r="D180" t="s">
        <v>93</v>
      </c>
      <c r="E180" t="s">
        <v>83</v>
      </c>
    </row>
    <row r="181" spans="1:8" hidden="1" x14ac:dyDescent="0.3">
      <c r="A181" s="5" t="s">
        <v>31</v>
      </c>
      <c r="B181" s="4" t="s">
        <v>79</v>
      </c>
      <c r="C181" s="5">
        <f>133/1000000</f>
        <v>1.3300000000000001E-4</v>
      </c>
      <c r="D181" t="s">
        <v>93</v>
      </c>
      <c r="E181" t="s">
        <v>83</v>
      </c>
    </row>
    <row r="182" spans="1:8" hidden="1" x14ac:dyDescent="0.3">
      <c r="A182" s="5" t="s">
        <v>32</v>
      </c>
      <c r="B182" s="4" t="s">
        <v>79</v>
      </c>
      <c r="C182" s="5">
        <f>(3.4)/1000000</f>
        <v>3.4000000000000001E-6</v>
      </c>
      <c r="D182" t="s">
        <v>93</v>
      </c>
      <c r="E182" t="s">
        <v>80</v>
      </c>
    </row>
    <row r="183" spans="1:8" hidden="1" x14ac:dyDescent="0.3">
      <c r="A183" s="5" t="s">
        <v>33</v>
      </c>
      <c r="B183" s="4" t="s">
        <v>79</v>
      </c>
      <c r="C183" s="5">
        <f>133/1000000</f>
        <v>1.3300000000000001E-4</v>
      </c>
      <c r="D183" t="s">
        <v>93</v>
      </c>
      <c r="E183" t="s">
        <v>83</v>
      </c>
    </row>
    <row r="184" spans="1:8" hidden="1" x14ac:dyDescent="0.3">
      <c r="A184" t="s">
        <v>34</v>
      </c>
      <c r="B184" s="4" t="s">
        <v>79</v>
      </c>
      <c r="C184">
        <v>0</v>
      </c>
      <c r="D184" t="s">
        <v>93</v>
      </c>
    </row>
    <row r="185" spans="1:8" hidden="1" x14ac:dyDescent="0.3">
      <c r="A185" t="s">
        <v>35</v>
      </c>
      <c r="B185" s="4" t="s">
        <v>79</v>
      </c>
      <c r="C185">
        <f>+(0.14)/1000000</f>
        <v>1.4000000000000001E-7</v>
      </c>
      <c r="D185" t="s">
        <v>93</v>
      </c>
      <c r="E185" t="s">
        <v>81</v>
      </c>
    </row>
    <row r="186" spans="1:8" hidden="1" x14ac:dyDescent="0.3">
      <c r="A186" t="s">
        <v>36</v>
      </c>
      <c r="B186" s="4" t="s">
        <v>79</v>
      </c>
      <c r="C186">
        <v>0</v>
      </c>
      <c r="D186" t="s">
        <v>93</v>
      </c>
    </row>
    <row r="187" spans="1:8" hidden="1" x14ac:dyDescent="0.3">
      <c r="A187" t="s">
        <v>63</v>
      </c>
      <c r="B187" s="4" t="s">
        <v>79</v>
      </c>
      <c r="C187" s="5">
        <f>133/1000000</f>
        <v>1.3300000000000001E-4</v>
      </c>
      <c r="D187" t="s">
        <v>93</v>
      </c>
      <c r="E187" t="s">
        <v>83</v>
      </c>
    </row>
    <row r="188" spans="1:8" hidden="1" x14ac:dyDescent="0.3">
      <c r="A188" s="5" t="s">
        <v>37</v>
      </c>
      <c r="B188" s="4" t="s">
        <v>79</v>
      </c>
      <c r="C188" s="5">
        <v>0</v>
      </c>
      <c r="D188" t="s">
        <v>93</v>
      </c>
    </row>
    <row r="189" spans="1:8" hidden="1" x14ac:dyDescent="0.3">
      <c r="A189" t="s">
        <v>38</v>
      </c>
      <c r="B189" s="4" t="s">
        <v>79</v>
      </c>
      <c r="C189">
        <v>0</v>
      </c>
      <c r="D189" t="s">
        <v>93</v>
      </c>
    </row>
    <row r="190" spans="1:8" hidden="1" x14ac:dyDescent="0.3">
      <c r="A190" t="s">
        <v>64</v>
      </c>
      <c r="B190" s="4" t="s">
        <v>88</v>
      </c>
      <c r="C190">
        <f>(0.0483)/(45.57*1000)</f>
        <v>1.0599078341013825E-6</v>
      </c>
      <c r="D190" t="s">
        <v>93</v>
      </c>
      <c r="E190" t="s">
        <v>84</v>
      </c>
    </row>
    <row r="191" spans="1:8" hidden="1" x14ac:dyDescent="0.3">
      <c r="A191" t="s">
        <v>65</v>
      </c>
      <c r="B191" s="4" t="s">
        <v>88</v>
      </c>
      <c r="C191">
        <v>0</v>
      </c>
      <c r="D191" t="s">
        <v>93</v>
      </c>
    </row>
    <row r="192" spans="1:8" hidden="1" x14ac:dyDescent="0.3">
      <c r="A192" t="s">
        <v>66</v>
      </c>
      <c r="B192" s="4" t="s">
        <v>88</v>
      </c>
      <c r="C192">
        <v>0</v>
      </c>
      <c r="D192" t="s">
        <v>93</v>
      </c>
    </row>
    <row r="193" spans="1:10" ht="15" hidden="1" customHeight="1" x14ac:dyDescent="0.3">
      <c r="A193" t="s">
        <v>67</v>
      </c>
      <c r="B193" s="4" t="s">
        <v>88</v>
      </c>
      <c r="C193">
        <v>0</v>
      </c>
      <c r="D193" t="s">
        <v>93</v>
      </c>
    </row>
    <row r="194" spans="1:10" hidden="1" x14ac:dyDescent="0.3">
      <c r="A194" t="s">
        <v>45</v>
      </c>
      <c r="B194" s="12" t="s">
        <v>62</v>
      </c>
      <c r="C194">
        <f>+(0.0694208289054198+28*3.95855472901169E-06+265*0.0000040913921360255)</f>
        <v>7.0615887353878887E-2</v>
      </c>
      <c r="D194" t="s">
        <v>89</v>
      </c>
      <c r="E194" t="s">
        <v>10</v>
      </c>
    </row>
    <row r="195" spans="1:10" hidden="1" x14ac:dyDescent="0.3">
      <c r="A195" t="s">
        <v>46</v>
      </c>
      <c r="B195" s="12" t="s">
        <v>62</v>
      </c>
      <c r="C195">
        <v>0</v>
      </c>
      <c r="D195" t="s">
        <v>89</v>
      </c>
      <c r="E195" t="s">
        <v>10</v>
      </c>
    </row>
    <row r="196" spans="1:10" hidden="1" x14ac:dyDescent="0.3">
      <c r="A196" t="s">
        <v>47</v>
      </c>
      <c r="B196" s="12" t="s">
        <v>62</v>
      </c>
      <c r="C196">
        <v>0</v>
      </c>
      <c r="D196" t="s">
        <v>89</v>
      </c>
      <c r="E196" t="s">
        <v>10</v>
      </c>
    </row>
    <row r="197" spans="1:10" hidden="1" x14ac:dyDescent="0.3">
      <c r="A197" t="s">
        <v>48</v>
      </c>
      <c r="B197" s="12" t="s">
        <v>62</v>
      </c>
      <c r="C197">
        <f>+(0.0627336448598131+28*0.0000616627725856698+265*1.98598130841122E-07)</f>
        <v>6.4512830996884749E-2</v>
      </c>
      <c r="D197" t="s">
        <v>89</v>
      </c>
      <c r="E197" t="s">
        <v>10</v>
      </c>
    </row>
    <row r="198" spans="1:10" hidden="1" x14ac:dyDescent="0.3">
      <c r="A198" t="s">
        <v>49</v>
      </c>
      <c r="B198" s="12" t="s">
        <v>62</v>
      </c>
      <c r="C198">
        <f>(0.0666169005673335+28*0.0000270827112570917+265*7.10659898477157E-06)</f>
        <v>6.9258465213496531E-2</v>
      </c>
      <c r="D198" t="s">
        <v>89</v>
      </c>
      <c r="E198" t="s">
        <v>10</v>
      </c>
      <c r="J198" s="11"/>
    </row>
    <row r="199" spans="1:10" hidden="1" x14ac:dyDescent="0.3">
      <c r="A199" t="s">
        <v>50</v>
      </c>
      <c r="B199" s="12" t="s">
        <v>62</v>
      </c>
      <c r="C199">
        <v>0</v>
      </c>
      <c r="D199" t="s">
        <v>89</v>
      </c>
      <c r="E199" t="s">
        <v>10</v>
      </c>
    </row>
    <row r="200" spans="1:10" hidden="1" x14ac:dyDescent="0.3">
      <c r="A200" t="s">
        <v>51</v>
      </c>
      <c r="B200" s="12" t="s">
        <v>62</v>
      </c>
      <c r="C200">
        <f>(0.0666169005673335+28*0.0000270827112570917+265*7.10659898477157E-06)</f>
        <v>6.9258465213496531E-2</v>
      </c>
      <c r="D200" t="s">
        <v>89</v>
      </c>
      <c r="E200" t="s">
        <v>10</v>
      </c>
    </row>
    <row r="201" spans="1:10" hidden="1" x14ac:dyDescent="0.3">
      <c r="A201" t="s">
        <v>52</v>
      </c>
      <c r="B201" s="12" t="s">
        <v>62</v>
      </c>
      <c r="C201">
        <f>+(0.0694208289054198+28*3.95855472901169E-06+265*0.0000040913921360255)</f>
        <v>7.0615887353878887E-2</v>
      </c>
      <c r="D201" t="s">
        <v>89</v>
      </c>
      <c r="E201" t="s">
        <v>10</v>
      </c>
    </row>
    <row r="202" spans="1:10" hidden="1" x14ac:dyDescent="0.3">
      <c r="A202" t="s">
        <v>53</v>
      </c>
      <c r="B202" s="12" t="s">
        <v>62</v>
      </c>
      <c r="C202">
        <f>+(0.0627336448598131+28*0.0000616627725856698+265*1.98598130841122E-07)</f>
        <v>6.4512830996884749E-2</v>
      </c>
      <c r="D202" t="s">
        <v>89</v>
      </c>
      <c r="E202" t="s">
        <v>10</v>
      </c>
    </row>
    <row r="203" spans="1:10" hidden="1" x14ac:dyDescent="0.3">
      <c r="A203" t="s">
        <v>54</v>
      </c>
      <c r="B203" s="12" t="s">
        <v>62</v>
      </c>
      <c r="C203">
        <f>+(0.0694208289054198+28*3.95855472901169E-06+265*0.0000040913921360255)</f>
        <v>7.0615887353878887E-2</v>
      </c>
      <c r="D203" t="s">
        <v>89</v>
      </c>
      <c r="E203" t="s">
        <v>10</v>
      </c>
    </row>
    <row r="204" spans="1:10" hidden="1" x14ac:dyDescent="0.3">
      <c r="A204" t="s">
        <v>55</v>
      </c>
      <c r="B204" s="12" t="s">
        <v>62</v>
      </c>
      <c r="C204">
        <v>0</v>
      </c>
      <c r="D204" t="s">
        <v>89</v>
      </c>
      <c r="E204" t="s">
        <v>10</v>
      </c>
    </row>
    <row r="205" spans="1:10" hidden="1" x14ac:dyDescent="0.3">
      <c r="A205" t="s">
        <v>56</v>
      </c>
      <c r="B205" s="12" t="s">
        <v>62</v>
      </c>
      <c r="C205">
        <v>0</v>
      </c>
      <c r="D205" t="s">
        <v>89</v>
      </c>
      <c r="E205" t="s">
        <v>10</v>
      </c>
    </row>
    <row r="206" spans="1:10" hidden="1" x14ac:dyDescent="0.3">
      <c r="A206" t="s">
        <v>57</v>
      </c>
      <c r="B206" s="12" t="s">
        <v>62</v>
      </c>
      <c r="C206">
        <f>+(0.0627336448598131+28*0.0000616627725856698+265*1.98598130841122E-07)</f>
        <v>6.4512830996884749E-2</v>
      </c>
      <c r="D206" t="s">
        <v>89</v>
      </c>
      <c r="E206" t="s">
        <v>10</v>
      </c>
    </row>
    <row r="207" spans="1:10" hidden="1" x14ac:dyDescent="0.3">
      <c r="A207" t="s">
        <v>97</v>
      </c>
      <c r="B207" s="12" t="s">
        <v>62</v>
      </c>
      <c r="C207" s="5">
        <f>(1*28+265*0.1)/1000000</f>
        <v>5.4500000000000003E-5</v>
      </c>
      <c r="D207" t="s">
        <v>89</v>
      </c>
      <c r="E207" t="s">
        <v>42</v>
      </c>
    </row>
    <row r="208" spans="1:10" hidden="1" x14ac:dyDescent="0.3">
      <c r="A208" t="s">
        <v>58</v>
      </c>
      <c r="B208" s="12" t="s">
        <v>62</v>
      </c>
      <c r="C208">
        <f>+(0.0694208289054198+28*3.95855472901169E-06+265*0.0000040913921360255)</f>
        <v>7.0615887353878887E-2</v>
      </c>
      <c r="D208" t="s">
        <v>89</v>
      </c>
      <c r="E208" t="s">
        <v>10</v>
      </c>
    </row>
    <row r="209" spans="1:10" hidden="1" x14ac:dyDescent="0.3">
      <c r="A209" t="s">
        <v>59</v>
      </c>
      <c r="B209" s="12" t="s">
        <v>62</v>
      </c>
      <c r="C209">
        <v>0</v>
      </c>
      <c r="D209" t="s">
        <v>89</v>
      </c>
      <c r="E209" t="s">
        <v>10</v>
      </c>
    </row>
    <row r="210" spans="1:10" hidden="1" x14ac:dyDescent="0.3">
      <c r="A210" t="s">
        <v>60</v>
      </c>
      <c r="B210" s="12" t="s">
        <v>62</v>
      </c>
      <c r="C210">
        <f>(0.0666169005673335+28*0.0000270827112570917+265*7.10659898477157E-06)</f>
        <v>6.9258465213496531E-2</v>
      </c>
      <c r="D210" t="s">
        <v>89</v>
      </c>
      <c r="E210" t="s">
        <v>10</v>
      </c>
    </row>
    <row r="211" spans="1:10" hidden="1" x14ac:dyDescent="0.3">
      <c r="A211" t="s">
        <v>61</v>
      </c>
      <c r="B211" s="12" t="s">
        <v>62</v>
      </c>
      <c r="C211">
        <f>+(0.0627336448598131+28*0.0000616627725856698+265*1.98598130841122E-07)</f>
        <v>6.4512830996884749E-2</v>
      </c>
      <c r="D211" t="s">
        <v>89</v>
      </c>
      <c r="E211" t="s">
        <v>10</v>
      </c>
    </row>
    <row r="212" spans="1:10" hidden="1" x14ac:dyDescent="0.3">
      <c r="A212" t="s">
        <v>45</v>
      </c>
      <c r="B212" s="12" t="s">
        <v>85</v>
      </c>
      <c r="C212">
        <f>+(0.0694208289054198)</f>
        <v>6.9420828905419799E-2</v>
      </c>
      <c r="D212" t="s">
        <v>90</v>
      </c>
      <c r="E212" t="s">
        <v>10</v>
      </c>
    </row>
    <row r="213" spans="1:10" hidden="1" x14ac:dyDescent="0.3">
      <c r="A213" t="s">
        <v>46</v>
      </c>
      <c r="B213" s="12" t="s">
        <v>85</v>
      </c>
      <c r="C213">
        <v>0</v>
      </c>
      <c r="D213" t="s">
        <v>90</v>
      </c>
      <c r="E213" t="s">
        <v>10</v>
      </c>
    </row>
    <row r="214" spans="1:10" hidden="1" x14ac:dyDescent="0.3">
      <c r="A214" t="s">
        <v>47</v>
      </c>
      <c r="B214" s="12" t="s">
        <v>85</v>
      </c>
      <c r="C214">
        <v>0</v>
      </c>
      <c r="D214" t="s">
        <v>90</v>
      </c>
      <c r="E214" t="s">
        <v>10</v>
      </c>
    </row>
    <row r="215" spans="1:10" hidden="1" x14ac:dyDescent="0.3">
      <c r="A215" t="s">
        <v>48</v>
      </c>
      <c r="B215" s="12" t="s">
        <v>85</v>
      </c>
      <c r="C215">
        <f>+(0.0627336448598131)</f>
        <v>6.2733644859813101E-2</v>
      </c>
      <c r="D215" t="s">
        <v>90</v>
      </c>
      <c r="E215" t="s">
        <v>10</v>
      </c>
    </row>
    <row r="216" spans="1:10" hidden="1" x14ac:dyDescent="0.3">
      <c r="A216" t="s">
        <v>49</v>
      </c>
      <c r="B216" s="12" t="s">
        <v>85</v>
      </c>
      <c r="C216">
        <f>(0.0666169005673335)</f>
        <v>6.6616900567333506E-2</v>
      </c>
      <c r="D216" t="s">
        <v>90</v>
      </c>
      <c r="E216" t="s">
        <v>10</v>
      </c>
      <c r="J216" s="11"/>
    </row>
    <row r="217" spans="1:10" hidden="1" x14ac:dyDescent="0.3">
      <c r="A217" t="s">
        <v>50</v>
      </c>
      <c r="B217" s="12" t="s">
        <v>85</v>
      </c>
      <c r="C217">
        <v>0</v>
      </c>
      <c r="D217" t="s">
        <v>90</v>
      </c>
      <c r="E217" t="s">
        <v>10</v>
      </c>
    </row>
    <row r="218" spans="1:10" hidden="1" x14ac:dyDescent="0.3">
      <c r="A218" t="s">
        <v>51</v>
      </c>
      <c r="B218" s="12" t="s">
        <v>85</v>
      </c>
      <c r="C218">
        <f>(0.0666169005673335)</f>
        <v>6.6616900567333506E-2</v>
      </c>
      <c r="D218" t="s">
        <v>90</v>
      </c>
      <c r="E218" t="s">
        <v>10</v>
      </c>
    </row>
    <row r="219" spans="1:10" hidden="1" x14ac:dyDescent="0.3">
      <c r="A219" t="s">
        <v>52</v>
      </c>
      <c r="B219" s="12" t="s">
        <v>85</v>
      </c>
      <c r="C219">
        <f>+(0.0694208289054198)</f>
        <v>6.9420828905419799E-2</v>
      </c>
      <c r="D219" t="s">
        <v>90</v>
      </c>
      <c r="E219" t="s">
        <v>10</v>
      </c>
    </row>
    <row r="220" spans="1:10" hidden="1" x14ac:dyDescent="0.3">
      <c r="A220" t="s">
        <v>53</v>
      </c>
      <c r="B220" s="12" t="s">
        <v>85</v>
      </c>
      <c r="C220">
        <f>+(0.0627336448598131)</f>
        <v>6.2733644859813101E-2</v>
      </c>
      <c r="D220" t="s">
        <v>90</v>
      </c>
      <c r="E220" t="s">
        <v>10</v>
      </c>
    </row>
    <row r="221" spans="1:10" hidden="1" x14ac:dyDescent="0.3">
      <c r="A221" t="s">
        <v>54</v>
      </c>
      <c r="B221" s="12" t="s">
        <v>85</v>
      </c>
      <c r="C221">
        <f>+(0.0694208289054198)</f>
        <v>6.9420828905419799E-2</v>
      </c>
      <c r="D221" t="s">
        <v>90</v>
      </c>
      <c r="E221" t="s">
        <v>10</v>
      </c>
    </row>
    <row r="222" spans="1:10" hidden="1" x14ac:dyDescent="0.3">
      <c r="A222" t="s">
        <v>55</v>
      </c>
      <c r="B222" s="12" t="s">
        <v>85</v>
      </c>
      <c r="C222">
        <v>0</v>
      </c>
      <c r="D222" t="s">
        <v>90</v>
      </c>
      <c r="E222" t="s">
        <v>10</v>
      </c>
    </row>
    <row r="223" spans="1:10" hidden="1" x14ac:dyDescent="0.3">
      <c r="A223" t="s">
        <v>56</v>
      </c>
      <c r="B223" s="12" t="s">
        <v>85</v>
      </c>
      <c r="C223">
        <v>0</v>
      </c>
      <c r="D223" t="s">
        <v>90</v>
      </c>
      <c r="E223" t="s">
        <v>10</v>
      </c>
    </row>
    <row r="224" spans="1:10" hidden="1" x14ac:dyDescent="0.3">
      <c r="A224" t="s">
        <v>57</v>
      </c>
      <c r="B224" s="12" t="s">
        <v>85</v>
      </c>
      <c r="C224">
        <f>+(0.062733644859)</f>
        <v>6.2733644859000001E-2</v>
      </c>
      <c r="D224" t="s">
        <v>90</v>
      </c>
      <c r="E224" t="s">
        <v>10</v>
      </c>
    </row>
    <row r="225" spans="1:10" hidden="1" x14ac:dyDescent="0.3">
      <c r="A225" t="s">
        <v>97</v>
      </c>
      <c r="B225" s="12" t="s">
        <v>85</v>
      </c>
      <c r="C225" s="5">
        <v>0</v>
      </c>
      <c r="D225" t="s">
        <v>90</v>
      </c>
      <c r="E225" t="s">
        <v>42</v>
      </c>
    </row>
    <row r="226" spans="1:10" hidden="1" x14ac:dyDescent="0.3">
      <c r="A226" t="s">
        <v>58</v>
      </c>
      <c r="B226" s="12" t="s">
        <v>85</v>
      </c>
      <c r="C226">
        <f>+(0.0694208289054198)</f>
        <v>6.9420828905419799E-2</v>
      </c>
      <c r="D226" t="s">
        <v>90</v>
      </c>
      <c r="E226" t="s">
        <v>10</v>
      </c>
    </row>
    <row r="227" spans="1:10" hidden="1" x14ac:dyDescent="0.3">
      <c r="A227" t="s">
        <v>59</v>
      </c>
      <c r="B227" s="12" t="s">
        <v>85</v>
      </c>
      <c r="C227">
        <v>0</v>
      </c>
      <c r="D227" t="s">
        <v>90</v>
      </c>
      <c r="E227" t="s">
        <v>10</v>
      </c>
    </row>
    <row r="228" spans="1:10" hidden="1" x14ac:dyDescent="0.3">
      <c r="A228" t="s">
        <v>60</v>
      </c>
      <c r="B228" s="12" t="s">
        <v>85</v>
      </c>
      <c r="C228">
        <f>(0.0666169005673335)</f>
        <v>6.6616900567333506E-2</v>
      </c>
      <c r="D228" t="s">
        <v>90</v>
      </c>
      <c r="E228" t="s">
        <v>10</v>
      </c>
    </row>
    <row r="229" spans="1:10" hidden="1" x14ac:dyDescent="0.3">
      <c r="A229" t="s">
        <v>61</v>
      </c>
      <c r="B229" s="12" t="s">
        <v>85</v>
      </c>
      <c r="C229">
        <f>+(0.0627336448598131)</f>
        <v>6.2733644859813101E-2</v>
      </c>
      <c r="D229" t="s">
        <v>90</v>
      </c>
      <c r="E229" t="s">
        <v>10</v>
      </c>
    </row>
    <row r="230" spans="1:10" hidden="1" x14ac:dyDescent="0.3">
      <c r="A230" t="s">
        <v>45</v>
      </c>
      <c r="B230" s="12" t="s">
        <v>86</v>
      </c>
      <c r="C230">
        <f>+(3.95855472901169E-06)</f>
        <v>3.95855472901169E-6</v>
      </c>
      <c r="D230" t="s">
        <v>91</v>
      </c>
      <c r="E230" t="s">
        <v>10</v>
      </c>
    </row>
    <row r="231" spans="1:10" hidden="1" x14ac:dyDescent="0.3">
      <c r="A231" t="s">
        <v>46</v>
      </c>
      <c r="B231" s="12" t="s">
        <v>86</v>
      </c>
      <c r="C231">
        <v>0</v>
      </c>
      <c r="D231" t="s">
        <v>91</v>
      </c>
      <c r="E231" t="s">
        <v>10</v>
      </c>
    </row>
    <row r="232" spans="1:10" hidden="1" x14ac:dyDescent="0.3">
      <c r="A232" t="s">
        <v>47</v>
      </c>
      <c r="B232" s="12" t="s">
        <v>86</v>
      </c>
      <c r="C232">
        <v>0</v>
      </c>
      <c r="D232" t="s">
        <v>91</v>
      </c>
      <c r="E232" t="s">
        <v>10</v>
      </c>
    </row>
    <row r="233" spans="1:10" hidden="1" x14ac:dyDescent="0.3">
      <c r="A233" t="s">
        <v>48</v>
      </c>
      <c r="B233" s="12" t="s">
        <v>86</v>
      </c>
      <c r="C233">
        <f>+(0.0000616627725856698)</f>
        <v>6.1662772585669803E-5</v>
      </c>
      <c r="D233" t="s">
        <v>91</v>
      </c>
      <c r="E233" t="s">
        <v>10</v>
      </c>
      <c r="J233" s="11"/>
    </row>
    <row r="234" spans="1:10" hidden="1" x14ac:dyDescent="0.3">
      <c r="A234" t="s">
        <v>49</v>
      </c>
      <c r="B234" s="12" t="s">
        <v>86</v>
      </c>
      <c r="C234">
        <f>(0.0000270827112570917)</f>
        <v>2.7082711257091698E-5</v>
      </c>
      <c r="D234" t="s">
        <v>91</v>
      </c>
      <c r="E234" t="s">
        <v>10</v>
      </c>
    </row>
    <row r="235" spans="1:10" hidden="1" x14ac:dyDescent="0.3">
      <c r="A235" t="s">
        <v>50</v>
      </c>
      <c r="B235" s="12" t="s">
        <v>86</v>
      </c>
      <c r="C235">
        <v>0</v>
      </c>
      <c r="D235" t="s">
        <v>91</v>
      </c>
      <c r="E235" t="s">
        <v>10</v>
      </c>
    </row>
    <row r="236" spans="1:10" hidden="1" x14ac:dyDescent="0.3">
      <c r="A236" t="s">
        <v>51</v>
      </c>
      <c r="B236" s="12" t="s">
        <v>86</v>
      </c>
      <c r="C236">
        <f>(0.0000270827112570917)</f>
        <v>2.7082711257091698E-5</v>
      </c>
      <c r="D236" t="s">
        <v>91</v>
      </c>
      <c r="E236" t="s">
        <v>10</v>
      </c>
    </row>
    <row r="237" spans="1:10" hidden="1" x14ac:dyDescent="0.3">
      <c r="A237" t="s">
        <v>52</v>
      </c>
      <c r="B237" s="12" t="s">
        <v>86</v>
      </c>
      <c r="C237">
        <f>+(3.95855472901169E-06)</f>
        <v>3.95855472901169E-6</v>
      </c>
      <c r="D237" t="s">
        <v>91</v>
      </c>
      <c r="E237" t="s">
        <v>10</v>
      </c>
    </row>
    <row r="238" spans="1:10" hidden="1" x14ac:dyDescent="0.3">
      <c r="A238" t="s">
        <v>53</v>
      </c>
      <c r="B238" s="12" t="s">
        <v>86</v>
      </c>
      <c r="C238">
        <f>+(0.0000616627725856698)</f>
        <v>6.1662772585669803E-5</v>
      </c>
      <c r="D238" t="s">
        <v>91</v>
      </c>
      <c r="E238" t="s">
        <v>10</v>
      </c>
    </row>
    <row r="239" spans="1:10" hidden="1" x14ac:dyDescent="0.3">
      <c r="A239" t="s">
        <v>54</v>
      </c>
      <c r="B239" s="12" t="s">
        <v>86</v>
      </c>
      <c r="C239">
        <f>+(3.95855472901169E-06)</f>
        <v>3.95855472901169E-6</v>
      </c>
      <c r="D239" t="s">
        <v>91</v>
      </c>
      <c r="E239" t="s">
        <v>10</v>
      </c>
    </row>
    <row r="240" spans="1:10" hidden="1" x14ac:dyDescent="0.3">
      <c r="A240" t="s">
        <v>55</v>
      </c>
      <c r="B240" s="12" t="s">
        <v>86</v>
      </c>
      <c r="C240">
        <v>0</v>
      </c>
      <c r="D240" t="s">
        <v>91</v>
      </c>
      <c r="E240" t="s">
        <v>10</v>
      </c>
    </row>
    <row r="241" spans="1:10" hidden="1" x14ac:dyDescent="0.3">
      <c r="A241" t="s">
        <v>56</v>
      </c>
      <c r="B241" s="12" t="s">
        <v>86</v>
      </c>
      <c r="C241">
        <v>0</v>
      </c>
      <c r="D241" t="s">
        <v>91</v>
      </c>
      <c r="E241" t="s">
        <v>10</v>
      </c>
    </row>
    <row r="242" spans="1:10" hidden="1" x14ac:dyDescent="0.3">
      <c r="A242" t="s">
        <v>57</v>
      </c>
      <c r="B242" s="12" t="s">
        <v>86</v>
      </c>
      <c r="C242">
        <f>+(0.0000616627725856698)</f>
        <v>6.1662772585669803E-5</v>
      </c>
      <c r="D242" t="s">
        <v>91</v>
      </c>
      <c r="E242" t="s">
        <v>10</v>
      </c>
    </row>
    <row r="243" spans="1:10" hidden="1" x14ac:dyDescent="0.3">
      <c r="A243" t="s">
        <v>97</v>
      </c>
      <c r="B243" s="12" t="s">
        <v>86</v>
      </c>
      <c r="C243" s="5">
        <f>(1)/1000000</f>
        <v>9.9999999999999995E-7</v>
      </c>
      <c r="D243" t="s">
        <v>91</v>
      </c>
      <c r="E243" t="s">
        <v>42</v>
      </c>
    </row>
    <row r="244" spans="1:10" hidden="1" x14ac:dyDescent="0.3">
      <c r="A244" t="s">
        <v>58</v>
      </c>
      <c r="B244" s="12" t="s">
        <v>86</v>
      </c>
      <c r="C244">
        <f>+(3.95855472901169E-06)</f>
        <v>3.95855472901169E-6</v>
      </c>
      <c r="D244" t="s">
        <v>91</v>
      </c>
      <c r="E244" t="s">
        <v>10</v>
      </c>
    </row>
    <row r="245" spans="1:10" hidden="1" x14ac:dyDescent="0.3">
      <c r="A245" t="s">
        <v>59</v>
      </c>
      <c r="B245" s="12" t="s">
        <v>86</v>
      </c>
      <c r="C245">
        <v>0</v>
      </c>
      <c r="D245" t="s">
        <v>91</v>
      </c>
      <c r="E245" t="s">
        <v>10</v>
      </c>
    </row>
    <row r="246" spans="1:10" hidden="1" x14ac:dyDescent="0.3">
      <c r="A246" t="s">
        <v>60</v>
      </c>
      <c r="B246" s="12" t="s">
        <v>86</v>
      </c>
      <c r="C246">
        <f>(0.0000270827112570917)</f>
        <v>2.7082711257091698E-5</v>
      </c>
      <c r="D246" t="s">
        <v>91</v>
      </c>
      <c r="E246" t="s">
        <v>10</v>
      </c>
    </row>
    <row r="247" spans="1:10" hidden="1" x14ac:dyDescent="0.3">
      <c r="A247" t="s">
        <v>61</v>
      </c>
      <c r="B247" s="12" t="s">
        <v>86</v>
      </c>
      <c r="C247">
        <f>+(0.0000616627725856698)</f>
        <v>6.1662772585669803E-5</v>
      </c>
      <c r="D247" t="s">
        <v>91</v>
      </c>
      <c r="E247" t="s">
        <v>10</v>
      </c>
    </row>
    <row r="248" spans="1:10" hidden="1" x14ac:dyDescent="0.3">
      <c r="A248" t="s">
        <v>45</v>
      </c>
      <c r="B248" s="12" t="s">
        <v>87</v>
      </c>
      <c r="C248">
        <f>+(0.0000040913921360255)</f>
        <v>4.0913921360254997E-6</v>
      </c>
      <c r="D248" t="s">
        <v>92</v>
      </c>
      <c r="E248" t="s">
        <v>10</v>
      </c>
    </row>
    <row r="249" spans="1:10" hidden="1" x14ac:dyDescent="0.3">
      <c r="A249" t="s">
        <v>46</v>
      </c>
      <c r="B249" s="12" t="s">
        <v>87</v>
      </c>
      <c r="C249">
        <v>0</v>
      </c>
      <c r="D249" t="s">
        <v>92</v>
      </c>
      <c r="E249" t="s">
        <v>10</v>
      </c>
    </row>
    <row r="250" spans="1:10" hidden="1" x14ac:dyDescent="0.3">
      <c r="A250" t="s">
        <v>47</v>
      </c>
      <c r="B250" s="12" t="s">
        <v>87</v>
      </c>
      <c r="C250">
        <v>0</v>
      </c>
      <c r="D250" t="s">
        <v>92</v>
      </c>
      <c r="E250" t="s">
        <v>10</v>
      </c>
      <c r="J250" s="11"/>
    </row>
    <row r="251" spans="1:10" hidden="1" x14ac:dyDescent="0.3">
      <c r="A251" t="s">
        <v>48</v>
      </c>
      <c r="B251" s="12" t="s">
        <v>87</v>
      </c>
      <c r="C251">
        <f>+(1.98598130841122E-07)</f>
        <v>1.9859813084112199E-7</v>
      </c>
      <c r="D251" t="s">
        <v>92</v>
      </c>
      <c r="E251" t="s">
        <v>10</v>
      </c>
    </row>
    <row r="252" spans="1:10" hidden="1" x14ac:dyDescent="0.3">
      <c r="A252" t="s">
        <v>49</v>
      </c>
      <c r="B252" s="12" t="s">
        <v>87</v>
      </c>
      <c r="C252">
        <f>(7.10659898477157E-06)</f>
        <v>7.1065989847715703E-6</v>
      </c>
      <c r="D252" t="s">
        <v>92</v>
      </c>
      <c r="E252" t="s">
        <v>10</v>
      </c>
    </row>
    <row r="253" spans="1:10" hidden="1" x14ac:dyDescent="0.3">
      <c r="A253" t="s">
        <v>50</v>
      </c>
      <c r="B253" s="12" t="s">
        <v>87</v>
      </c>
      <c r="C253">
        <v>0</v>
      </c>
      <c r="D253" t="s">
        <v>92</v>
      </c>
      <c r="E253" t="s">
        <v>10</v>
      </c>
    </row>
    <row r="254" spans="1:10" hidden="1" x14ac:dyDescent="0.3">
      <c r="A254" t="s">
        <v>51</v>
      </c>
      <c r="B254" s="12" t="s">
        <v>87</v>
      </c>
      <c r="C254">
        <f>(7.10659898477157E-06)</f>
        <v>7.1065989847715703E-6</v>
      </c>
      <c r="D254" t="s">
        <v>92</v>
      </c>
      <c r="E254" t="s">
        <v>10</v>
      </c>
    </row>
    <row r="255" spans="1:10" hidden="1" x14ac:dyDescent="0.3">
      <c r="A255" t="s">
        <v>52</v>
      </c>
      <c r="B255" s="12" t="s">
        <v>87</v>
      </c>
      <c r="C255">
        <f>+(0.0000040913921360255)</f>
        <v>4.0913921360254997E-6</v>
      </c>
      <c r="D255" t="s">
        <v>92</v>
      </c>
      <c r="E255" t="s">
        <v>10</v>
      </c>
    </row>
    <row r="256" spans="1:10" hidden="1" x14ac:dyDescent="0.3">
      <c r="A256" t="s">
        <v>53</v>
      </c>
      <c r="B256" s="12" t="s">
        <v>87</v>
      </c>
      <c r="C256">
        <f>+(1.98598130841122E-07)</f>
        <v>1.9859813084112199E-7</v>
      </c>
      <c r="D256" t="s">
        <v>92</v>
      </c>
      <c r="E256" t="s">
        <v>10</v>
      </c>
    </row>
    <row r="257" spans="1:10" hidden="1" x14ac:dyDescent="0.3">
      <c r="A257" t="s">
        <v>54</v>
      </c>
      <c r="B257" s="12" t="s">
        <v>87</v>
      </c>
      <c r="C257">
        <f>+(0.0000040913921360255)</f>
        <v>4.0913921360254997E-6</v>
      </c>
      <c r="D257" t="s">
        <v>92</v>
      </c>
      <c r="E257" t="s">
        <v>10</v>
      </c>
    </row>
    <row r="258" spans="1:10" hidden="1" x14ac:dyDescent="0.3">
      <c r="A258" t="s">
        <v>55</v>
      </c>
      <c r="B258" s="12" t="s">
        <v>87</v>
      </c>
      <c r="C258">
        <v>0</v>
      </c>
      <c r="D258" t="s">
        <v>92</v>
      </c>
      <c r="E258" t="s">
        <v>10</v>
      </c>
    </row>
    <row r="259" spans="1:10" hidden="1" x14ac:dyDescent="0.3">
      <c r="A259" t="s">
        <v>56</v>
      </c>
      <c r="B259" s="12" t="s">
        <v>87</v>
      </c>
      <c r="C259">
        <v>0</v>
      </c>
      <c r="D259" t="s">
        <v>92</v>
      </c>
      <c r="E259" t="s">
        <v>10</v>
      </c>
    </row>
    <row r="260" spans="1:10" hidden="1" x14ac:dyDescent="0.3">
      <c r="A260" t="s">
        <v>57</v>
      </c>
      <c r="B260" s="12" t="s">
        <v>87</v>
      </c>
      <c r="C260">
        <f>+(1.98598130841122E-07)</f>
        <v>1.9859813084112199E-7</v>
      </c>
      <c r="D260" t="s">
        <v>92</v>
      </c>
      <c r="E260" t="s">
        <v>10</v>
      </c>
    </row>
    <row r="261" spans="1:10" hidden="1" x14ac:dyDescent="0.3">
      <c r="A261" t="s">
        <v>58</v>
      </c>
      <c r="B261" s="12" t="s">
        <v>87</v>
      </c>
      <c r="C261">
        <f>+(0.0000040913921360255)</f>
        <v>4.0913921360254997E-6</v>
      </c>
      <c r="D261" t="s">
        <v>92</v>
      </c>
      <c r="E261" t="s">
        <v>10</v>
      </c>
    </row>
    <row r="262" spans="1:10" hidden="1" x14ac:dyDescent="0.3">
      <c r="A262" t="s">
        <v>97</v>
      </c>
      <c r="B262" s="12" t="s">
        <v>87</v>
      </c>
      <c r="C262" s="5">
        <f>(0.1)/1000000</f>
        <v>1.0000000000000001E-7</v>
      </c>
      <c r="D262" t="s">
        <v>92</v>
      </c>
      <c r="E262" t="s">
        <v>42</v>
      </c>
    </row>
    <row r="263" spans="1:10" hidden="1" x14ac:dyDescent="0.3">
      <c r="A263" t="s">
        <v>59</v>
      </c>
      <c r="B263" s="12" t="s">
        <v>87</v>
      </c>
      <c r="C263">
        <v>0</v>
      </c>
      <c r="D263" t="s">
        <v>92</v>
      </c>
      <c r="E263" t="s">
        <v>10</v>
      </c>
    </row>
    <row r="264" spans="1:10" hidden="1" x14ac:dyDescent="0.3">
      <c r="A264" t="s">
        <v>60</v>
      </c>
      <c r="B264" s="12" t="s">
        <v>87</v>
      </c>
      <c r="C264">
        <f>(7.10659898477157E-06)</f>
        <v>7.1065989847715703E-6</v>
      </c>
      <c r="D264" t="s">
        <v>92</v>
      </c>
      <c r="E264" t="s">
        <v>10</v>
      </c>
    </row>
    <row r="265" spans="1:10" hidden="1" x14ac:dyDescent="0.3">
      <c r="A265" t="s">
        <v>61</v>
      </c>
      <c r="B265" s="12" t="s">
        <v>87</v>
      </c>
      <c r="C265">
        <f>+(1.98598130841122E-07)</f>
        <v>1.9859813084112199E-7</v>
      </c>
      <c r="D265" t="s">
        <v>92</v>
      </c>
      <c r="E265" t="s">
        <v>10</v>
      </c>
    </row>
    <row r="266" spans="1:10" hidden="1" x14ac:dyDescent="0.3">
      <c r="A266" t="s">
        <v>45</v>
      </c>
      <c r="B266" s="12" t="s">
        <v>88</v>
      </c>
      <c r="C266">
        <f>0.78/(45.57*1000)</f>
        <v>1.7116524028966426E-5</v>
      </c>
      <c r="D266" t="s">
        <v>93</v>
      </c>
      <c r="E266" t="s">
        <v>94</v>
      </c>
    </row>
    <row r="267" spans="1:10" hidden="1" x14ac:dyDescent="0.3">
      <c r="A267" t="s">
        <v>46</v>
      </c>
      <c r="B267" s="12" t="s">
        <v>88</v>
      </c>
      <c r="C267">
        <v>0</v>
      </c>
      <c r="D267" t="s">
        <v>93</v>
      </c>
      <c r="J267" s="11"/>
    </row>
    <row r="268" spans="1:10" hidden="1" x14ac:dyDescent="0.3">
      <c r="A268" t="s">
        <v>47</v>
      </c>
      <c r="B268" s="12" t="s">
        <v>88</v>
      </c>
      <c r="C268">
        <v>0</v>
      </c>
      <c r="D268" t="s">
        <v>93</v>
      </c>
    </row>
    <row r="269" spans="1:10" hidden="1" x14ac:dyDescent="0.3">
      <c r="A269" t="s">
        <v>48</v>
      </c>
      <c r="B269" s="12" t="s">
        <v>88</v>
      </c>
      <c r="C269">
        <f>0.03/(48*1000)</f>
        <v>6.2499999999999995E-7</v>
      </c>
      <c r="D269" t="s">
        <v>93</v>
      </c>
      <c r="E269" t="s">
        <v>94</v>
      </c>
    </row>
    <row r="270" spans="1:10" hidden="1" x14ac:dyDescent="0.3">
      <c r="A270" t="s">
        <v>49</v>
      </c>
      <c r="B270" s="12" t="s">
        <v>88</v>
      </c>
      <c r="C270">
        <f>0.02/(45.5*1000)</f>
        <v>4.3956043956043957E-7</v>
      </c>
      <c r="D270" t="s">
        <v>93</v>
      </c>
      <c r="E270" t="s">
        <v>94</v>
      </c>
    </row>
    <row r="271" spans="1:10" hidden="1" x14ac:dyDescent="0.3">
      <c r="A271" t="s">
        <v>50</v>
      </c>
      <c r="B271" s="12" t="s">
        <v>88</v>
      </c>
      <c r="C271">
        <v>0</v>
      </c>
      <c r="D271" t="s">
        <v>93</v>
      </c>
    </row>
    <row r="272" spans="1:10" hidden="1" x14ac:dyDescent="0.3">
      <c r="A272" t="s">
        <v>51</v>
      </c>
      <c r="B272" s="12" t="s">
        <v>88</v>
      </c>
      <c r="C272">
        <f>0.02/(45.5*1000)</f>
        <v>4.3956043956043957E-7</v>
      </c>
      <c r="D272" t="s">
        <v>93</v>
      </c>
      <c r="E272" t="s">
        <v>94</v>
      </c>
    </row>
    <row r="273" spans="1:5" hidden="1" x14ac:dyDescent="0.3">
      <c r="A273" t="s">
        <v>52</v>
      </c>
      <c r="B273" s="12" t="s">
        <v>88</v>
      </c>
      <c r="C273">
        <f>0.78/(45.57*1000)</f>
        <v>1.7116524028966426E-5</v>
      </c>
      <c r="D273" t="s">
        <v>93</v>
      </c>
      <c r="E273" t="s">
        <v>94</v>
      </c>
    </row>
    <row r="274" spans="1:5" hidden="1" x14ac:dyDescent="0.3">
      <c r="A274" t="s">
        <v>53</v>
      </c>
      <c r="B274" s="12" t="s">
        <v>88</v>
      </c>
      <c r="C274">
        <f>0.03/(48*1000)</f>
        <v>6.2499999999999995E-7</v>
      </c>
      <c r="D274" t="s">
        <v>93</v>
      </c>
      <c r="E274" t="s">
        <v>94</v>
      </c>
    </row>
    <row r="275" spans="1:5" hidden="1" x14ac:dyDescent="0.3">
      <c r="A275" t="s">
        <v>54</v>
      </c>
      <c r="B275" s="12" t="s">
        <v>88</v>
      </c>
      <c r="C275">
        <f>0.55/(45.57*1000)</f>
        <v>1.2069343866578891E-5</v>
      </c>
      <c r="D275" t="s">
        <v>93</v>
      </c>
      <c r="E275" t="s">
        <v>95</v>
      </c>
    </row>
    <row r="276" spans="1:5" hidden="1" x14ac:dyDescent="0.3">
      <c r="A276" t="s">
        <v>55</v>
      </c>
      <c r="B276" s="12" t="s">
        <v>88</v>
      </c>
      <c r="C276">
        <v>0</v>
      </c>
      <c r="D276" t="s">
        <v>93</v>
      </c>
    </row>
    <row r="277" spans="1:5" hidden="1" x14ac:dyDescent="0.3">
      <c r="A277" t="s">
        <v>56</v>
      </c>
      <c r="B277" s="12" t="s">
        <v>88</v>
      </c>
      <c r="C277">
        <v>0</v>
      </c>
      <c r="D277" t="s">
        <v>93</v>
      </c>
    </row>
    <row r="278" spans="1:5" hidden="1" x14ac:dyDescent="0.3">
      <c r="A278" t="s">
        <v>57</v>
      </c>
      <c r="B278" s="12" t="s">
        <v>88</v>
      </c>
      <c r="C278">
        <f>0.02/(48*1000)</f>
        <v>4.1666666666666667E-7</v>
      </c>
      <c r="D278" t="s">
        <v>93</v>
      </c>
      <c r="E278" t="s">
        <v>95</v>
      </c>
    </row>
    <row r="279" spans="1:5" hidden="1" x14ac:dyDescent="0.3">
      <c r="A279" t="s">
        <v>58</v>
      </c>
      <c r="B279" s="12" t="s">
        <v>88</v>
      </c>
      <c r="C279">
        <f>1.22/(45.57*1000)</f>
        <v>2.6771999122229535E-5</v>
      </c>
      <c r="D279" t="s">
        <v>93</v>
      </c>
      <c r="E279" t="s">
        <v>96</v>
      </c>
    </row>
    <row r="280" spans="1:5" hidden="1" x14ac:dyDescent="0.3">
      <c r="A280" t="s">
        <v>59</v>
      </c>
      <c r="B280" s="12" t="s">
        <v>88</v>
      </c>
      <c r="C280">
        <v>0</v>
      </c>
      <c r="D280" t="s">
        <v>93</v>
      </c>
    </row>
    <row r="281" spans="1:5" hidden="1" x14ac:dyDescent="0.3">
      <c r="A281" t="s">
        <v>60</v>
      </c>
      <c r="B281" s="12" t="s">
        <v>88</v>
      </c>
      <c r="C281">
        <f>0.02/(45.5*1000)</f>
        <v>4.3956043956043957E-7</v>
      </c>
      <c r="D281" t="s">
        <v>93</v>
      </c>
      <c r="E281" t="s">
        <v>96</v>
      </c>
    </row>
    <row r="282" spans="1:5" hidden="1" x14ac:dyDescent="0.3">
      <c r="A282" t="s">
        <v>61</v>
      </c>
      <c r="B282" s="12" t="s">
        <v>88</v>
      </c>
      <c r="C282">
        <f>0.02/(48*1000)</f>
        <v>4.1666666666666667E-7</v>
      </c>
      <c r="D282" t="s">
        <v>93</v>
      </c>
      <c r="E282" t="s">
        <v>95</v>
      </c>
    </row>
  </sheetData>
  <autoFilter ref="A1:J282" xr:uid="{00000000-0001-0000-0000-000000000000}">
    <filterColumn colId="0">
      <filters>
        <filter val="PWRDSL"/>
      </filters>
    </filterColumn>
  </autoFilter>
  <phoneticPr fontId="4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B896B-BFBE-403F-A891-C25041EF70AE}">
  <sheetPr>
    <tabColor rgb="FFFFC000"/>
  </sheetPr>
  <dimension ref="A1:E1"/>
  <sheetViews>
    <sheetView workbookViewId="0"/>
  </sheetViews>
  <sheetFormatPr defaultColWidth="9.109375" defaultRowHeight="14.4" x14ac:dyDescent="0.3"/>
  <cols>
    <col min="1" max="2" width="12" bestFit="1" customWidth="1"/>
    <col min="3" max="3" width="19.44140625" bestFit="1" customWidth="1"/>
    <col min="4" max="4" width="16.109375" bestFit="1" customWidth="1"/>
    <col min="5" max="5" width="13" bestFit="1" customWidth="1"/>
    <col min="7" max="7" width="10.77734375" bestFit="1" customWidth="1"/>
  </cols>
  <sheetData>
    <row r="1" spans="1:5" ht="15" thickBot="1" x14ac:dyDescent="0.35">
      <c r="A1" s="2" t="s">
        <v>1</v>
      </c>
      <c r="B1" s="1" t="s">
        <v>0</v>
      </c>
      <c r="C1" s="1" t="s">
        <v>2</v>
      </c>
      <c r="D1" s="1" t="s">
        <v>5</v>
      </c>
      <c r="E1" s="1" t="s">
        <v>3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8eed89a-7418-4977-ae3a-838f0fac8ec5">
      <Terms xmlns="http://schemas.microsoft.com/office/infopath/2007/PartnerControls"/>
    </lcf76f155ced4ddcb4097134ff3c332f>
    <TaxCatchAll xmlns="416d42ac-85ec-40c4-8054-6c816fd4b6a7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341064803B07E4F8A0204BD36BE6D07" ma:contentTypeVersion="12" ma:contentTypeDescription="Crear nuevo documento." ma:contentTypeScope="" ma:versionID="7b6cc499061edee961e2646e4109d12b">
  <xsd:schema xmlns:xsd="http://www.w3.org/2001/XMLSchema" xmlns:xs="http://www.w3.org/2001/XMLSchema" xmlns:p="http://schemas.microsoft.com/office/2006/metadata/properties" xmlns:ns2="48eed89a-7418-4977-ae3a-838f0fac8ec5" xmlns:ns3="416d42ac-85ec-40c4-8054-6c816fd4b6a7" targetNamespace="http://schemas.microsoft.com/office/2006/metadata/properties" ma:root="true" ma:fieldsID="91f4ccc8eac361410ae569a7832f6d99" ns2:_="" ns3:_="">
    <xsd:import namespace="48eed89a-7418-4977-ae3a-838f0fac8ec5"/>
    <xsd:import namespace="416d42ac-85ec-40c4-8054-6c816fd4b6a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8eed89a-7418-4977-ae3a-838f0fac8ec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Etiquetas de imagen" ma:readOnly="false" ma:fieldId="{5cf76f15-5ced-4ddc-b409-7134ff3c332f}" ma:taxonomyMulti="true" ma:sspId="71f7bd95-1200-4052-9a4e-dfdf006e181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6d42ac-85ec-40c4-8054-6c816fd4b6a7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f2f505f1-ba8b-4e5d-ab63-2b0077c99565}" ma:internalName="TaxCatchAll" ma:showField="CatchAllData" ma:web="416d42ac-85ec-40c4-8054-6c816fd4b6a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FFB2CC7-4028-40CF-B585-77900DA351B4}">
  <ds:schemaRefs>
    <ds:schemaRef ds:uri="http://schemas.microsoft.com/office/2006/metadata/properties"/>
    <ds:schemaRef ds:uri="http://schemas.microsoft.com/office/infopath/2007/PartnerControls"/>
    <ds:schemaRef ds:uri="0d55314f-45f1-40c9-9fce-63556e193d03"/>
    <ds:schemaRef ds:uri="48eed89a-7418-4977-ae3a-838f0fac8ec5"/>
    <ds:schemaRef ds:uri="416d42ac-85ec-40c4-8054-6c816fd4b6a7"/>
  </ds:schemaRefs>
</ds:datastoreItem>
</file>

<file path=customXml/itemProps2.xml><?xml version="1.0" encoding="utf-8"?>
<ds:datastoreItem xmlns:ds="http://schemas.openxmlformats.org/officeDocument/2006/customXml" ds:itemID="{69F79AB8-49D9-484F-991A-27FAE0E62C6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FF4B4B6-2736-405C-8297-1B0AABBF1B7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8eed89a-7418-4977-ae3a-838f0fac8ec5"/>
    <ds:schemaRef ds:uri="416d42ac-85ec-40c4-8054-6c816fd4b6a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GHGs</vt:lpstr>
      <vt:lpstr>Externalities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Fernando Victor</dc:creator>
  <cp:lastModifiedBy>Susana Solorzano Jiménez</cp:lastModifiedBy>
  <dcterms:created xsi:type="dcterms:W3CDTF">2015-06-05T18:17:20Z</dcterms:created>
  <dcterms:modified xsi:type="dcterms:W3CDTF">2025-06-28T01:14:11Z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0x010100C341064803B07E4F8A0204BD36BE6D07</vt:lpwstr>
  </property>
  <property fmtid="{D5CDD505-2E9C-101B-9397-08002B2CF9AE}" pid="3" name="MediaServiceImageTags">
    <vt:lpwstr/>
  </property>
</Properties>
</file>