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c1a89c002f6079/Documents/UW/Mixed-Valence-Complexes/LCLSrun18/LCLS_run_18_code/parameters/"/>
    </mc:Choice>
  </mc:AlternateContent>
  <xr:revisionPtr revIDLastSave="6" documentId="13_ncr:1_{5E8C6DCC-3511-5443-870C-6500E950AF61}" xr6:coauthVersionLast="46" xr6:coauthVersionMax="46" xr10:uidLastSave="{62662EA5-3D72-4B93-BD32-DF261E2FEDF2}"/>
  <bookViews>
    <workbookView xWindow="-98" yWindow="-98" windowWidth="20715" windowHeight="13276" xr2:uid="{7A415332-06D1-B04E-BBF7-BDE805B9F297}"/>
  </bookViews>
  <sheets>
    <sheet name="angle calculator" sheetId="1" r:id="rId1"/>
    <sheet name="Divergence only calculator" sheetId="3" r:id="rId2"/>
    <sheet name="a-cut calculator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G6" i="3"/>
  <c r="G4" i="3"/>
  <c r="G5" i="3"/>
  <c r="G8" i="3"/>
  <c r="G9" i="3"/>
  <c r="G10" i="3"/>
  <c r="B13" i="2"/>
  <c r="B1" i="2"/>
  <c r="B10" i="2"/>
  <c r="B12" i="2"/>
  <c r="B14" i="2"/>
  <c r="H3" i="2"/>
  <c r="H4" i="2"/>
  <c r="G3" i="2"/>
  <c r="G4" i="2"/>
  <c r="G14" i="2"/>
  <c r="H6" i="2"/>
  <c r="G6" i="2"/>
  <c r="J6" i="2"/>
  <c r="H5" i="2"/>
  <c r="G5" i="2"/>
  <c r="J5" i="2"/>
  <c r="J4" i="2"/>
  <c r="G11" i="2"/>
  <c r="G3" i="3"/>
  <c r="B7" i="3"/>
  <c r="H3" i="3"/>
  <c r="H4" i="3"/>
  <c r="H5" i="3"/>
  <c r="H6" i="3"/>
  <c r="B1" i="3"/>
  <c r="G15" i="2"/>
  <c r="G16" i="2"/>
  <c r="H9" i="2"/>
  <c r="H8" i="2"/>
  <c r="H7" i="2"/>
  <c r="G9" i="2"/>
  <c r="G8" i="2"/>
  <c r="G7" i="2"/>
  <c r="B15" i="2"/>
  <c r="H11" i="2"/>
  <c r="H12" i="2"/>
  <c r="G12" i="2"/>
  <c r="B4" i="1"/>
  <c r="G2" i="1"/>
  <c r="I2" i="1"/>
  <c r="B3" i="1"/>
  <c r="G3" i="1"/>
  <c r="I3" i="1"/>
  <c r="L3" i="1"/>
  <c r="G4" i="1"/>
  <c r="L4" i="1"/>
  <c r="G5" i="1"/>
  <c r="I5" i="1"/>
  <c r="L5" i="1"/>
  <c r="G6" i="1"/>
  <c r="I6" i="1"/>
  <c r="L6" i="1"/>
  <c r="L2" i="1"/>
  <c r="H3" i="1"/>
  <c r="K3" i="1"/>
  <c r="H4" i="1"/>
  <c r="K4" i="1"/>
  <c r="H5" i="1"/>
  <c r="K5" i="1"/>
  <c r="H6" i="1"/>
  <c r="K6" i="1"/>
  <c r="H2" i="1"/>
  <c r="K2" i="1"/>
</calcChain>
</file>

<file path=xl/sharedStrings.xml><?xml version="1.0" encoding="utf-8"?>
<sst xmlns="http://schemas.openxmlformats.org/spreadsheetml/2006/main" count="121" uniqueCount="74">
  <si>
    <t>2d (nm)</t>
  </si>
  <si>
    <t>Silicon (220)</t>
  </si>
  <si>
    <t>Silicon (111)</t>
  </si>
  <si>
    <t>Silicon(311)</t>
  </si>
  <si>
    <t>Line</t>
  </si>
  <si>
    <t>Mn K-alpha</t>
  </si>
  <si>
    <t>Cu K-alpha</t>
  </si>
  <si>
    <t>Fe Min</t>
  </si>
  <si>
    <t>Fe Midpont</t>
  </si>
  <si>
    <t>Fe Max</t>
  </si>
  <si>
    <t>Photon Energy (eV)</t>
  </si>
  <si>
    <t>Experiment</t>
  </si>
  <si>
    <t>LV20</t>
  </si>
  <si>
    <t>LV27</t>
  </si>
  <si>
    <t>Angle</t>
  </si>
  <si>
    <t>Wavelength</t>
  </si>
  <si>
    <t>Crystal</t>
  </si>
  <si>
    <t>Theta Angle Si (220) [deg]</t>
  </si>
  <si>
    <t>Theta Angle Si (311) [deg]</t>
  </si>
  <si>
    <t>Drawing Angle Si (220) [deg]</t>
  </si>
  <si>
    <t>Drawing Angle Si (311) [deg]</t>
  </si>
  <si>
    <t>Wavelength (nm)</t>
  </si>
  <si>
    <t>m</t>
  </si>
  <si>
    <t>Cut angle</t>
  </si>
  <si>
    <t>deg</t>
  </si>
  <si>
    <t>eV</t>
  </si>
  <si>
    <t>nm</t>
  </si>
  <si>
    <t>b</t>
  </si>
  <si>
    <t>For Min Angle</t>
  </si>
  <si>
    <t>For Max Angle</t>
  </si>
  <si>
    <t>Seperation at detector</t>
  </si>
  <si>
    <t>rad</t>
  </si>
  <si>
    <t>microns</t>
  </si>
  <si>
    <t>Pixel size</t>
  </si>
  <si>
    <t>Pixel Resolution</t>
  </si>
  <si>
    <t>eV/pixel</t>
  </si>
  <si>
    <t>Theta Bragg Center</t>
  </si>
  <si>
    <t>Photon Energy</t>
  </si>
  <si>
    <t>in pixels</t>
  </si>
  <si>
    <t>Distance crystal to detector</t>
  </si>
  <si>
    <t xml:space="preserve">Crystal 2*d </t>
  </si>
  <si>
    <t>Centreal photon energy</t>
  </si>
  <si>
    <t>dE</t>
  </si>
  <si>
    <t>Using PRA 91, 053817</t>
  </si>
  <si>
    <t xml:space="preserve"> incident to sufrace</t>
  </si>
  <si>
    <t>*see eq 2 of paper</t>
  </si>
  <si>
    <t>*see eq 3 of paper</t>
  </si>
  <si>
    <t>dy/dE</t>
  </si>
  <si>
    <t>radians</t>
  </si>
  <si>
    <t>*not needed but good to know</t>
  </si>
  <si>
    <t>Note if distance is Z then propagaton matrix is:</t>
  </si>
  <si>
    <t>1/b</t>
  </si>
  <si>
    <t>dy</t>
  </si>
  <si>
    <t>dTheta</t>
  </si>
  <si>
    <t>dThata/dE</t>
  </si>
  <si>
    <t>sD</t>
  </si>
  <si>
    <t>Distance sample to crystal</t>
  </si>
  <si>
    <t>Divergance</t>
  </si>
  <si>
    <t>m (L)</t>
  </si>
  <si>
    <t>m (Z)</t>
  </si>
  <si>
    <t>L/b + Zb</t>
  </si>
  <si>
    <t>zsD</t>
  </si>
  <si>
    <t>dY</t>
  </si>
  <si>
    <t>dTheta (+-)</t>
  </si>
  <si>
    <t>dy' (theta max)</t>
  </si>
  <si>
    <t>dy' (theta min)</t>
  </si>
  <si>
    <t>dy' (theta cent)</t>
  </si>
  <si>
    <t>dTheta' (theta max)</t>
  </si>
  <si>
    <t>dTheta' (theta min)</t>
  </si>
  <si>
    <t>dTheta' (theta cent)</t>
  </si>
  <si>
    <t>offset</t>
  </si>
  <si>
    <t>Note: Must be less then divergance (which it is)</t>
  </si>
  <si>
    <t>offset at detector</t>
  </si>
  <si>
    <t>delta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</si>
</sst>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 applyAlignment="1">
      <alignment wrapText="1"/>
    </xf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CC16-ED7B-1948-A374-165FCFB61032}">
  <dimension ref="A1:L6"/>
  <sheetViews>
    <sheetView tabSelected="1" workbookViewId="0">
      <selection activeCell="F4" sqref="F4"/>
    </sheetView>
  </sheetViews>
  <sheetFormatPr defaultColWidth="11" defaultRowHeight="15.75" x14ac:dyDescent="0.5"/>
  <cols>
    <col min="1" max="1" width="20" bestFit="1" customWidth="1"/>
    <col min="6" max="6" width="13" customWidth="1"/>
    <col min="8" max="8" width="12.3125" customWidth="1"/>
    <col min="9" max="9" width="13" customWidth="1"/>
    <col min="11" max="11" width="10.8125" customWidth="1"/>
  </cols>
  <sheetData>
    <row r="1" spans="1:12" s="1" customFormat="1" ht="47.25" x14ac:dyDescent="0.5">
      <c r="A1" s="1" t="s">
        <v>16</v>
      </c>
      <c r="B1" s="1" t="s">
        <v>0</v>
      </c>
      <c r="D1" s="1" t="s">
        <v>11</v>
      </c>
      <c r="E1" s="1" t="s">
        <v>4</v>
      </c>
      <c r="F1" s="1" t="s">
        <v>10</v>
      </c>
      <c r="G1" s="1" t="s">
        <v>21</v>
      </c>
      <c r="H1" s="1" t="s">
        <v>17</v>
      </c>
      <c r="I1" s="1" t="s">
        <v>18</v>
      </c>
      <c r="K1" s="1" t="s">
        <v>19</v>
      </c>
      <c r="L1" s="1" t="s">
        <v>20</v>
      </c>
    </row>
    <row r="2" spans="1:12" x14ac:dyDescent="0.5">
      <c r="A2" t="s">
        <v>2</v>
      </c>
      <c r="B2">
        <v>0.62712000000000001</v>
      </c>
      <c r="D2" t="s">
        <v>12</v>
      </c>
      <c r="E2" t="s">
        <v>5</v>
      </c>
      <c r="F2" s="2">
        <v>5898.75</v>
      </c>
      <c r="G2">
        <f>1239.8/F2</f>
        <v>0.21018012290739563</v>
      </c>
      <c r="H2" s="2">
        <f>ASIN(G2/$B$3)*180/PI()</f>
        <v>33.181970228834118</v>
      </c>
      <c r="I2" s="2">
        <f>ASIN(G2/$B$4)*180/PI()</f>
        <v>39.923632125738202</v>
      </c>
      <c r="J2" s="2"/>
      <c r="K2" s="2">
        <f>180-(2*H2)</f>
        <v>113.63605954233176</v>
      </c>
      <c r="L2" s="2">
        <f>180-(2*I2)</f>
        <v>100.1527357485236</v>
      </c>
    </row>
    <row r="3" spans="1:12" x14ac:dyDescent="0.5">
      <c r="A3" t="s">
        <v>1</v>
      </c>
      <c r="B3">
        <f>B2*SQRT(1+1+1)/SQRT(4+4+0)</f>
        <v>0.38403100187354666</v>
      </c>
      <c r="D3" t="s">
        <v>12</v>
      </c>
      <c r="E3" t="s">
        <v>6</v>
      </c>
      <c r="F3" s="2">
        <v>8047.78</v>
      </c>
      <c r="G3">
        <f t="shared" ref="G3:G6" si="0">1239.8/F3</f>
        <v>0.15405490706753913</v>
      </c>
      <c r="H3" s="2">
        <f>ASIN(G3/$B$3)*180/PI()</f>
        <v>23.650232046304538</v>
      </c>
      <c r="I3" s="2">
        <f t="shared" ref="I3:I6" si="1">ASIN(G3/$B$4)*180/PI()</f>
        <v>28.059792443035455</v>
      </c>
      <c r="J3" s="2"/>
      <c r="K3" s="2">
        <f t="shared" ref="K3:K6" si="2">180-(2*H3)</f>
        <v>132.69953590739092</v>
      </c>
      <c r="L3" s="2">
        <f t="shared" ref="L3:L6" si="3">180-(2*I3)</f>
        <v>123.88041511392909</v>
      </c>
    </row>
    <row r="4" spans="1:12" x14ac:dyDescent="0.5">
      <c r="A4" t="s">
        <v>3</v>
      </c>
      <c r="B4">
        <f>B2*SQRT(1+1+1)/SQRT(9+1+1)</f>
        <v>0.3275027388088117</v>
      </c>
      <c r="D4" t="s">
        <v>13</v>
      </c>
      <c r="E4" t="s">
        <v>8</v>
      </c>
      <c r="F4" s="2">
        <v>7115</v>
      </c>
      <c r="G4">
        <f t="shared" si="0"/>
        <v>0.17425158116654954</v>
      </c>
      <c r="H4" s="2">
        <f>ASIN(G4/$B$3)*180/PI()</f>
        <v>26.984119631712282</v>
      </c>
      <c r="I4" s="2">
        <f>ASIN(G4/$B$4)*180/PI()</f>
        <v>32.144844606495042</v>
      </c>
      <c r="J4" s="2"/>
      <c r="K4" s="2">
        <f t="shared" si="2"/>
        <v>126.03176073657544</v>
      </c>
      <c r="L4" s="2">
        <f t="shared" si="3"/>
        <v>115.71031078700992</v>
      </c>
    </row>
    <row r="5" spans="1:12" x14ac:dyDescent="0.5">
      <c r="D5" t="s">
        <v>13</v>
      </c>
      <c r="E5" t="s">
        <v>7</v>
      </c>
      <c r="F5" s="2">
        <v>7102</v>
      </c>
      <c r="G5">
        <f t="shared" si="0"/>
        <v>0.17457054350887075</v>
      </c>
      <c r="H5" s="2">
        <f>ASIN(G5/$B$3)*180/PI()</f>
        <v>27.037533830058152</v>
      </c>
      <c r="I5" s="2">
        <f t="shared" si="1"/>
        <v>32.210772885411131</v>
      </c>
      <c r="J5" s="2"/>
      <c r="K5" s="2">
        <f t="shared" si="2"/>
        <v>125.9249323398837</v>
      </c>
      <c r="L5" s="2">
        <f t="shared" si="3"/>
        <v>115.57845422917774</v>
      </c>
    </row>
    <row r="6" spans="1:12" x14ac:dyDescent="0.5">
      <c r="D6" t="s">
        <v>13</v>
      </c>
      <c r="E6" t="s">
        <v>9</v>
      </c>
      <c r="F6" s="2">
        <v>7122</v>
      </c>
      <c r="G6">
        <f t="shared" si="0"/>
        <v>0.1740803145183937</v>
      </c>
      <c r="H6" s="2">
        <f>ASIN(G6/$B$3)*180/PI()</f>
        <v>26.955449370780833</v>
      </c>
      <c r="I6" s="2">
        <f t="shared" si="1"/>
        <v>32.109464122980839</v>
      </c>
      <c r="J6" s="2"/>
      <c r="K6" s="2">
        <f t="shared" si="2"/>
        <v>126.08910125843833</v>
      </c>
      <c r="L6" s="2">
        <f t="shared" si="3"/>
        <v>115.78107175403832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0A20-00D9-C04C-87E2-B4C74B94D8B2}">
  <dimension ref="A1:J10"/>
  <sheetViews>
    <sheetView workbookViewId="0">
      <selection activeCell="B7" sqref="B7"/>
    </sheetView>
  </sheetViews>
  <sheetFormatPr defaultColWidth="11" defaultRowHeight="15.75" x14ac:dyDescent="0.5"/>
  <cols>
    <col min="6" max="6" width="17.1875" bestFit="1" customWidth="1"/>
  </cols>
  <sheetData>
    <row r="1" spans="1:10" x14ac:dyDescent="0.5">
      <c r="A1" s="3" t="s">
        <v>57</v>
      </c>
      <c r="B1">
        <f>0.003/1.3/2</f>
        <v>1.1538461538461537E-3</v>
      </c>
      <c r="C1" t="s">
        <v>48</v>
      </c>
      <c r="G1" t="s">
        <v>29</v>
      </c>
      <c r="H1" t="s">
        <v>28</v>
      </c>
    </row>
    <row r="2" spans="1:10" ht="47.25" x14ac:dyDescent="0.5">
      <c r="A2" s="3" t="s">
        <v>56</v>
      </c>
      <c r="B2">
        <v>1.6</v>
      </c>
      <c r="C2" t="s">
        <v>58</v>
      </c>
      <c r="F2" t="s">
        <v>37</v>
      </c>
      <c r="G2">
        <v>7102</v>
      </c>
      <c r="H2">
        <v>7122</v>
      </c>
      <c r="I2" t="s">
        <v>25</v>
      </c>
    </row>
    <row r="3" spans="1:10" ht="47.25" x14ac:dyDescent="0.5">
      <c r="A3" s="3" t="s">
        <v>39</v>
      </c>
      <c r="B3">
        <v>2</v>
      </c>
      <c r="C3" t="s">
        <v>59</v>
      </c>
      <c r="F3" t="s">
        <v>15</v>
      </c>
      <c r="G3">
        <f>1239.8/G2</f>
        <v>0.17457054350887075</v>
      </c>
      <c r="H3">
        <f>1239.8/H2</f>
        <v>0.1740803145183937</v>
      </c>
      <c r="I3" t="s">
        <v>26</v>
      </c>
    </row>
    <row r="4" spans="1:10" x14ac:dyDescent="0.5">
      <c r="A4" s="3" t="s">
        <v>33</v>
      </c>
      <c r="B4">
        <v>100</v>
      </c>
      <c r="C4" t="s">
        <v>32</v>
      </c>
      <c r="F4" t="s">
        <v>14</v>
      </c>
      <c r="G4">
        <f>ASIN(G3/B5)</f>
        <v>0.56218404109476161</v>
      </c>
      <c r="H4">
        <f>ASIN(H3/B5)</f>
        <v>0.56041586963067258</v>
      </c>
      <c r="I4" t="s">
        <v>31</v>
      </c>
    </row>
    <row r="5" spans="1:10" x14ac:dyDescent="0.5">
      <c r="A5" s="3" t="s">
        <v>40</v>
      </c>
      <c r="B5">
        <v>0.32750273899999999</v>
      </c>
      <c r="C5" t="s">
        <v>26</v>
      </c>
      <c r="F5" t="s">
        <v>70</v>
      </c>
      <c r="G5">
        <f>G4-B7</f>
        <v>1.1506651694828118E-3</v>
      </c>
      <c r="H5">
        <f>H4-B7</f>
        <v>-6.175062946062182E-4</v>
      </c>
      <c r="I5" t="s">
        <v>31</v>
      </c>
      <c r="J5" t="s">
        <v>71</v>
      </c>
    </row>
    <row r="6" spans="1:10" ht="31.5" x14ac:dyDescent="0.5">
      <c r="A6" s="1" t="s">
        <v>36</v>
      </c>
      <c r="B6" s="6">
        <v>32.144844606494999</v>
      </c>
      <c r="C6" s="6" t="s">
        <v>24</v>
      </c>
      <c r="F6" t="s">
        <v>72</v>
      </c>
      <c r="G6">
        <f>(TAN(G5)*B2)+(B3*(SIN((2*G4)+G5)-SIN(2*B7)))</f>
        <v>4.8254204908366278E-3</v>
      </c>
      <c r="H6">
        <f>(TAN(H5)*B2)+(B3*(SIN((2*H4)+H5)-SIN(2*B7)))</f>
        <v>-2.5984254006946091E-3</v>
      </c>
      <c r="I6" t="s">
        <v>22</v>
      </c>
    </row>
    <row r="7" spans="1:10" x14ac:dyDescent="0.5">
      <c r="B7">
        <f>B6*PI()/180</f>
        <v>0.5610333759252788</v>
      </c>
      <c r="C7" s="6" t="s">
        <v>48</v>
      </c>
    </row>
    <row r="8" spans="1:10" x14ac:dyDescent="0.5">
      <c r="F8" t="s">
        <v>30</v>
      </c>
      <c r="G8">
        <f>(G6-H6)*1000000</f>
        <v>7423.8458915312367</v>
      </c>
      <c r="H8" t="s">
        <v>32</v>
      </c>
    </row>
    <row r="9" spans="1:10" x14ac:dyDescent="0.5">
      <c r="F9" t="s">
        <v>30</v>
      </c>
      <c r="G9">
        <f>G8/B4</f>
        <v>74.238458915312364</v>
      </c>
      <c r="H9" t="s">
        <v>38</v>
      </c>
    </row>
    <row r="10" spans="1:10" x14ac:dyDescent="0.5">
      <c r="F10" s="7" t="s">
        <v>34</v>
      </c>
      <c r="G10" s="7">
        <f>(H2-G2)/G9</f>
        <v>0.26940214401291696</v>
      </c>
      <c r="H10" s="7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68D2-9008-3B46-A9D4-3D89D3B733FF}">
  <dimension ref="A1:K34"/>
  <sheetViews>
    <sheetView workbookViewId="0">
      <selection activeCell="A6" sqref="A6"/>
    </sheetView>
  </sheetViews>
  <sheetFormatPr defaultColWidth="11" defaultRowHeight="15.75" x14ac:dyDescent="0.5"/>
  <cols>
    <col min="1" max="1" width="17.5" customWidth="1"/>
    <col min="6" max="6" width="20.1875" bestFit="1" customWidth="1"/>
    <col min="7" max="7" width="13" bestFit="1" customWidth="1"/>
    <col min="8" max="8" width="12.8125" bestFit="1" customWidth="1"/>
  </cols>
  <sheetData>
    <row r="1" spans="1:11" ht="21" x14ac:dyDescent="0.65">
      <c r="A1" s="3" t="s">
        <v>57</v>
      </c>
      <c r="B1">
        <f>0.003/1.3/2</f>
        <v>1.1538461538461537E-3</v>
      </c>
      <c r="C1" t="s">
        <v>48</v>
      </c>
      <c r="G1" t="s">
        <v>29</v>
      </c>
      <c r="H1" t="s">
        <v>28</v>
      </c>
      <c r="J1" s="5" t="s">
        <v>43</v>
      </c>
    </row>
    <row r="2" spans="1:11" ht="31.5" x14ac:dyDescent="0.5">
      <c r="A2" s="3" t="s">
        <v>56</v>
      </c>
      <c r="B2">
        <v>1.6</v>
      </c>
      <c r="C2" t="s">
        <v>58</v>
      </c>
      <c r="F2" t="s">
        <v>37</v>
      </c>
      <c r="G2">
        <v>7102</v>
      </c>
      <c r="H2">
        <v>7122</v>
      </c>
      <c r="I2" t="s">
        <v>25</v>
      </c>
    </row>
    <row r="3" spans="1:11" ht="31.5" x14ac:dyDescent="0.5">
      <c r="A3" s="3" t="s">
        <v>39</v>
      </c>
      <c r="B3">
        <v>2</v>
      </c>
      <c r="C3" t="s">
        <v>59</v>
      </c>
      <c r="F3" t="s">
        <v>42</v>
      </c>
      <c r="G3">
        <f>B12-G2</f>
        <v>12.99999584643956</v>
      </c>
      <c r="H3">
        <f>B12-H2</f>
        <v>-7.0000041535604396</v>
      </c>
      <c r="I3" t="s">
        <v>25</v>
      </c>
    </row>
    <row r="4" spans="1:11" x14ac:dyDescent="0.5">
      <c r="A4" s="3" t="s">
        <v>33</v>
      </c>
      <c r="B4">
        <v>100</v>
      </c>
      <c r="C4" t="s">
        <v>32</v>
      </c>
      <c r="F4" t="s">
        <v>64</v>
      </c>
      <c r="G4">
        <f>((1/B13)*B9)+(((B2/B13)+(B3*B13))*B10)+(B3*B14*G3)</f>
        <v>-2.7473062164534868E-3</v>
      </c>
      <c r="H4">
        <f>((1/B13)*B9)+(((B2/B13)+(B3*B13))*B10)+(B3*B14*H3)</f>
        <v>4.733965445677734E-3</v>
      </c>
      <c r="I4" t="s">
        <v>22</v>
      </c>
      <c r="J4">
        <f>H4-G4</f>
        <v>7.4812716621312208E-3</v>
      </c>
      <c r="K4" t="s">
        <v>73</v>
      </c>
    </row>
    <row r="5" spans="1:11" x14ac:dyDescent="0.5">
      <c r="A5" s="3" t="s">
        <v>40</v>
      </c>
      <c r="B5">
        <v>0.32750273899999999</v>
      </c>
      <c r="C5" t="s">
        <v>26</v>
      </c>
      <c r="F5" t="s">
        <v>65</v>
      </c>
      <c r="G5">
        <f>((1/B13)*B9)+(((B2/B13)+(B3*B13))*B10*-1)+(B3*B14*G3)</f>
        <v>-6.9783438369256986E-3</v>
      </c>
      <c r="H5">
        <f>((1/B13)*B9)+(((B2/B13)+(B3*B13))*B10*-1)+(B3*B14*H3)</f>
        <v>5.0292782520552177E-4</v>
      </c>
      <c r="I5" t="s">
        <v>22</v>
      </c>
      <c r="J5">
        <f t="shared" ref="J5:J6" si="0">H5-G5</f>
        <v>7.4812716621312208E-3</v>
      </c>
      <c r="K5" t="s">
        <v>73</v>
      </c>
    </row>
    <row r="6" spans="1:11" x14ac:dyDescent="0.5">
      <c r="A6" s="1" t="s">
        <v>36</v>
      </c>
      <c r="B6" s="6">
        <v>32.144844606494999</v>
      </c>
      <c r="C6" s="6" t="s">
        <v>24</v>
      </c>
      <c r="F6" t="s">
        <v>66</v>
      </c>
      <c r="G6">
        <f>((1/B13)*B9)+(((B2/B13)+(B3*B13))*B10*0)+(B3*B14*G3)</f>
        <v>-4.8628250266895927E-3</v>
      </c>
      <c r="H6">
        <f>((1/B13)*B9)+(((B2/B13)+(B3*B13))*B10*0)+(B3*B14*G3)</f>
        <v>-4.8628250266895927E-3</v>
      </c>
      <c r="I6" t="s">
        <v>22</v>
      </c>
      <c r="J6">
        <f t="shared" si="0"/>
        <v>0</v>
      </c>
      <c r="K6" t="s">
        <v>73</v>
      </c>
    </row>
    <row r="7" spans="1:11" x14ac:dyDescent="0.5">
      <c r="A7" s="3" t="s">
        <v>23</v>
      </c>
      <c r="B7" s="6">
        <v>2</v>
      </c>
      <c r="C7" t="s">
        <v>24</v>
      </c>
      <c r="F7" t="s">
        <v>67</v>
      </c>
      <c r="G7">
        <f>(B13*B10)+(B14*G3)</f>
        <v>-1.7865951101452451E-3</v>
      </c>
      <c r="H7">
        <f>(B13*B10)+(B14*H3)</f>
        <v>1.9540407209203653E-3</v>
      </c>
      <c r="I7" t="s">
        <v>31</v>
      </c>
    </row>
    <row r="8" spans="1:11" x14ac:dyDescent="0.5">
      <c r="A8" s="3"/>
      <c r="B8" s="6"/>
      <c r="F8" t="s">
        <v>68</v>
      </c>
      <c r="G8">
        <f>(B13*B10*-1)+(B14*G3)</f>
        <v>-3.0762299165443476E-3</v>
      </c>
      <c r="H8">
        <f>(B13*B10*-1)+(B14*H3)</f>
        <v>6.644059145212625E-4</v>
      </c>
      <c r="I8" t="s">
        <v>31</v>
      </c>
    </row>
    <row r="9" spans="1:11" x14ac:dyDescent="0.5">
      <c r="A9" s="3" t="s">
        <v>62</v>
      </c>
      <c r="B9" s="6">
        <v>0</v>
      </c>
      <c r="F9" t="s">
        <v>69</v>
      </c>
      <c r="G9">
        <f>(B13*B10*0)+(B14*G3)</f>
        <v>-2.4314125133447963E-3</v>
      </c>
      <c r="H9">
        <f>(B13*B10*0)+(B14*H3)</f>
        <v>1.3092233177208138E-3</v>
      </c>
      <c r="I9" t="s">
        <v>31</v>
      </c>
    </row>
    <row r="10" spans="1:11" x14ac:dyDescent="0.5">
      <c r="A10" s="3" t="s">
        <v>63</v>
      </c>
      <c r="B10" s="6">
        <f>B1/2</f>
        <v>5.7692307692307687E-4</v>
      </c>
    </row>
    <row r="11" spans="1:11" x14ac:dyDescent="0.5">
      <c r="A11" s="3"/>
      <c r="F11" t="s">
        <v>47</v>
      </c>
      <c r="G11">
        <f>B3*B14*G3</f>
        <v>-4.8628250266895927E-3</v>
      </c>
      <c r="H11">
        <f>B3*B14*H3</f>
        <v>2.6184466354416277E-3</v>
      </c>
      <c r="I11" t="s">
        <v>22</v>
      </c>
    </row>
    <row r="12" spans="1:11" ht="31.5" x14ac:dyDescent="0.5">
      <c r="A12" s="3" t="s">
        <v>41</v>
      </c>
      <c r="B12">
        <f>1239.8/(B5*SIN(B6*PI()/180))</f>
        <v>7114.9999958464396</v>
      </c>
      <c r="C12" t="s">
        <v>25</v>
      </c>
      <c r="D12" s="4"/>
      <c r="F12" t="s">
        <v>54</v>
      </c>
      <c r="G12">
        <f>B14*G3</f>
        <v>-2.4314125133447963E-3</v>
      </c>
      <c r="H12">
        <f>B14*H3</f>
        <v>1.3092233177208138E-3</v>
      </c>
      <c r="I12" t="s">
        <v>48</v>
      </c>
      <c r="J12" t="s">
        <v>49</v>
      </c>
    </row>
    <row r="13" spans="1:11" x14ac:dyDescent="0.5">
      <c r="A13" s="3" t="s">
        <v>27</v>
      </c>
      <c r="B13">
        <f>SIN((B6+B7)*PI()/180)/SIN((B6-B7)*PI()/180)</f>
        <v>1.1176834988792224</v>
      </c>
      <c r="C13" t="s">
        <v>45</v>
      </c>
    </row>
    <row r="14" spans="1:11" x14ac:dyDescent="0.5">
      <c r="A14" s="3" t="s">
        <v>55</v>
      </c>
      <c r="B14">
        <f>-1*(1/B12)*(1+B13)*TAN(B6*PI()/180)</f>
        <v>-1.8703179155328051E-4</v>
      </c>
      <c r="C14" t="s">
        <v>46</v>
      </c>
      <c r="F14" t="s">
        <v>30</v>
      </c>
      <c r="G14">
        <f>(H4-G4)*1000000</f>
        <v>7481.2716621312211</v>
      </c>
      <c r="H14" t="s">
        <v>32</v>
      </c>
    </row>
    <row r="15" spans="1:11" x14ac:dyDescent="0.5">
      <c r="A15" s="3" t="s">
        <v>44</v>
      </c>
      <c r="B15">
        <f>B6+B7</f>
        <v>34.144844606494999</v>
      </c>
      <c r="C15" t="s">
        <v>24</v>
      </c>
      <c r="F15" t="s">
        <v>30</v>
      </c>
      <c r="G15">
        <f>G14/B4</f>
        <v>74.812716621312205</v>
      </c>
      <c r="H15" t="s">
        <v>38</v>
      </c>
    </row>
    <row r="16" spans="1:11" x14ac:dyDescent="0.5">
      <c r="A16" s="3"/>
      <c r="F16" s="7" t="s">
        <v>34</v>
      </c>
      <c r="G16" s="7">
        <f>(H2-G2)/G15</f>
        <v>0.26733423010470547</v>
      </c>
      <c r="H16" s="7" t="s">
        <v>35</v>
      </c>
    </row>
    <row r="17" spans="1:10" x14ac:dyDescent="0.5">
      <c r="A17" t="s">
        <v>50</v>
      </c>
    </row>
    <row r="18" spans="1:10" x14ac:dyDescent="0.5">
      <c r="A18" s="13" t="s">
        <v>51</v>
      </c>
      <c r="B18" s="9" t="s">
        <v>60</v>
      </c>
      <c r="C18" s="10" t="s">
        <v>61</v>
      </c>
      <c r="D18" s="16" t="s">
        <v>52</v>
      </c>
    </row>
    <row r="19" spans="1:10" x14ac:dyDescent="0.5">
      <c r="A19" s="14">
        <v>0</v>
      </c>
      <c r="B19" t="s">
        <v>27</v>
      </c>
      <c r="C19" s="8" t="s">
        <v>55</v>
      </c>
      <c r="D19" t="s">
        <v>53</v>
      </c>
    </row>
    <row r="20" spans="1:10" x14ac:dyDescent="0.5">
      <c r="A20" s="15">
        <v>0</v>
      </c>
      <c r="B20" s="11">
        <v>0</v>
      </c>
      <c r="C20" s="12">
        <v>1</v>
      </c>
      <c r="D20" t="s">
        <v>42</v>
      </c>
    </row>
    <row r="22" spans="1:10" x14ac:dyDescent="0.5">
      <c r="A22" s="18"/>
      <c r="B22" s="17"/>
      <c r="C22" s="17"/>
      <c r="D22" s="17"/>
      <c r="E22" s="17"/>
      <c r="F22" s="17"/>
      <c r="G22" s="17"/>
      <c r="H22" s="17"/>
      <c r="I22" s="17"/>
      <c r="J22" s="17"/>
    </row>
    <row r="23" spans="1:10" x14ac:dyDescent="0.5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34" spans="6:8" x14ac:dyDescent="0.5">
      <c r="F34" s="7"/>
      <c r="G34" s="7"/>
      <c r="H3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angle calculator</vt:lpstr>
      <vt:lpstr>Divergence only calculator</vt:lpstr>
      <vt:lpstr>a-cut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Aquila, Andy</dc:creator>
  <cp:lastModifiedBy>Chelsea Schmaltz</cp:lastModifiedBy>
  <dcterms:created xsi:type="dcterms:W3CDTF">2020-03-26T23:16:50Z</dcterms:created>
  <dcterms:modified xsi:type="dcterms:W3CDTF">2021-01-28T20:41:27Z</dcterms:modified>
</cp:coreProperties>
</file>