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5" yWindow="-105" windowWidth="22275" windowHeight="13170" activeTab="1"/>
  </bookViews>
  <sheets>
    <sheet name="Main_page_wide" sheetId="1" r:id="rId1"/>
    <sheet name="Hematocrit" sheetId="3" r:id="rId2"/>
    <sheet name="Bad data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9" i="3" l="1"/>
  <c r="K148" i="3"/>
  <c r="K147" i="3"/>
  <c r="K146" i="3"/>
  <c r="K145" i="3"/>
  <c r="K144" i="3"/>
  <c r="K143" i="3"/>
  <c r="K142" i="3"/>
  <c r="K141" i="3"/>
  <c r="K140" i="3"/>
  <c r="K139" i="3"/>
  <c r="K138" i="3"/>
  <c r="AD136" i="3" l="1"/>
  <c r="AA132" i="3"/>
  <c r="AD132" i="3"/>
  <c r="X126" i="3"/>
  <c r="AD134" i="3"/>
  <c r="AD133" i="3"/>
  <c r="AD127" i="3" l="1"/>
  <c r="AD128" i="3"/>
  <c r="AD129" i="3"/>
  <c r="AD130" i="3"/>
  <c r="AD131" i="3"/>
  <c r="AD126" i="3"/>
  <c r="Y126" i="3"/>
  <c r="Y127" i="3"/>
  <c r="Y128" i="3"/>
  <c r="Z137" i="3"/>
  <c r="Y137" i="3"/>
  <c r="AD137" i="3" s="1"/>
  <c r="X137" i="3"/>
  <c r="Z136" i="3"/>
  <c r="Y136" i="3"/>
  <c r="X136" i="3"/>
  <c r="Z135" i="3"/>
  <c r="Y135" i="3"/>
  <c r="AD135" i="3" s="1"/>
  <c r="X135" i="3"/>
  <c r="Z134" i="3"/>
  <c r="Y134" i="3"/>
  <c r="X134" i="3"/>
  <c r="Z133" i="3"/>
  <c r="Y133" i="3"/>
  <c r="X133" i="3"/>
  <c r="Z132" i="3"/>
  <c r="Y132" i="3"/>
  <c r="X132" i="3"/>
  <c r="Z131" i="3"/>
  <c r="Y131" i="3"/>
  <c r="X131" i="3"/>
  <c r="Z130" i="3"/>
  <c r="Y130" i="3"/>
  <c r="X130" i="3"/>
  <c r="Z129" i="3"/>
  <c r="Y129" i="3"/>
  <c r="X129" i="3"/>
  <c r="Z128" i="3"/>
  <c r="X128" i="3"/>
  <c r="Z127" i="3"/>
  <c r="X127" i="3"/>
  <c r="Z126" i="3"/>
  <c r="AA127" i="3"/>
  <c r="AB127" i="3"/>
  <c r="AC127" i="3"/>
  <c r="AA128" i="3"/>
  <c r="AB128" i="3"/>
  <c r="AC128" i="3"/>
  <c r="AA129" i="3"/>
  <c r="AB129" i="3"/>
  <c r="AC129" i="3"/>
  <c r="AA130" i="3"/>
  <c r="AB130" i="3"/>
  <c r="AC130" i="3"/>
  <c r="AA131" i="3"/>
  <c r="AB131" i="3"/>
  <c r="AC131" i="3"/>
  <c r="AB132" i="3"/>
  <c r="AC132" i="3"/>
  <c r="AA133" i="3"/>
  <c r="AB133" i="3"/>
  <c r="AC133" i="3"/>
  <c r="AA134" i="3"/>
  <c r="AB134" i="3"/>
  <c r="AC134" i="3"/>
  <c r="AA135" i="3"/>
  <c r="AB135" i="3"/>
  <c r="AC135" i="3"/>
  <c r="AA136" i="3"/>
  <c r="AB136" i="3"/>
  <c r="AC136" i="3"/>
  <c r="AA137" i="3"/>
  <c r="AB137" i="3"/>
  <c r="AC137" i="3"/>
  <c r="AC126" i="3"/>
  <c r="AB126" i="3"/>
  <c r="AA126" i="3"/>
  <c r="K137" i="3" l="1"/>
  <c r="K136" i="3"/>
  <c r="K135" i="3"/>
  <c r="K134" i="3"/>
  <c r="K133" i="3"/>
  <c r="K132" i="3"/>
  <c r="K131" i="3"/>
  <c r="K130" i="3"/>
  <c r="K129" i="3"/>
  <c r="K128" i="3"/>
  <c r="K127" i="3"/>
  <c r="K126" i="3"/>
  <c r="Q103" i="3" l="1"/>
  <c r="Q104" i="3"/>
  <c r="Q102" i="3"/>
  <c r="Q100" i="3"/>
  <c r="Q94" i="3"/>
  <c r="Q95" i="3"/>
  <c r="Q96" i="3"/>
  <c r="Q97" i="3"/>
  <c r="Q98" i="3"/>
  <c r="Q99" i="3"/>
  <c r="Q93" i="3"/>
  <c r="Q87" i="3"/>
  <c r="Q88" i="3"/>
  <c r="Q89" i="3"/>
  <c r="Q90" i="3"/>
  <c r="Q86" i="3"/>
  <c r="K83" i="3" l="1"/>
  <c r="K84" i="3"/>
  <c r="K85" i="3"/>
  <c r="K82" i="3"/>
  <c r="K81" i="3"/>
  <c r="K80" i="3"/>
  <c r="K79" i="3"/>
  <c r="K78" i="3"/>
  <c r="K77" i="3"/>
  <c r="K76" i="3"/>
  <c r="K75" i="3"/>
  <c r="K74" i="3"/>
  <c r="L73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G40" i="3"/>
  <c r="K39" i="3"/>
  <c r="G39" i="3"/>
  <c r="K38" i="3"/>
  <c r="G38" i="3"/>
  <c r="K37" i="3"/>
  <c r="G37" i="3"/>
  <c r="K36" i="3"/>
  <c r="K35" i="3"/>
  <c r="K34" i="3"/>
  <c r="K33" i="3"/>
  <c r="K32" i="3"/>
  <c r="J32" i="3"/>
  <c r="K31" i="3"/>
  <c r="J31" i="3"/>
  <c r="K30" i="3"/>
  <c r="K29" i="3"/>
  <c r="K28" i="3"/>
  <c r="K27" i="3"/>
  <c r="K26" i="3"/>
  <c r="K25" i="3"/>
  <c r="K24" i="3"/>
  <c r="K23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I8" i="3"/>
  <c r="K14" i="1" l="1"/>
  <c r="K15" i="1"/>
  <c r="I16" i="1"/>
  <c r="I17" i="1"/>
  <c r="I18" i="1"/>
  <c r="I19" i="1"/>
  <c r="I20" i="1"/>
  <c r="I21" i="1"/>
  <c r="N6" i="2"/>
  <c r="M6" i="2"/>
  <c r="L6" i="2"/>
  <c r="K6" i="2"/>
  <c r="J6" i="2"/>
  <c r="H6" i="2"/>
  <c r="E6" i="2"/>
  <c r="J5" i="2"/>
  <c r="H5" i="2"/>
  <c r="H4" i="2"/>
  <c r="E4" i="2"/>
  <c r="H3" i="2"/>
  <c r="N2" i="2"/>
  <c r="M2" i="2"/>
  <c r="L2" i="2"/>
  <c r="K2" i="2"/>
  <c r="H2" i="2"/>
  <c r="S32" i="1" l="1"/>
  <c r="S31" i="1"/>
  <c r="S20" i="1"/>
  <c r="S19" i="1"/>
  <c r="S21" i="1" l="1"/>
  <c r="S33" i="1"/>
  <c r="I8" i="1"/>
  <c r="G8" i="1"/>
  <c r="I10" i="1"/>
  <c r="I11" i="1"/>
  <c r="I12" i="1"/>
  <c r="I13" i="1"/>
  <c r="I14" i="1"/>
  <c r="I15" i="1"/>
  <c r="I9" i="1"/>
</calcChain>
</file>

<file path=xl/comments1.xml><?xml version="1.0" encoding="utf-8"?>
<comments xmlns="http://schemas.openxmlformats.org/spreadsheetml/2006/main">
  <authors>
    <author>Author</author>
  </authors>
  <commentList>
    <comment ref="J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 used the pipet tip to pull down extra. Doing that pulled down an extra 0.7-0.8g plasma. The wetting resistance forces from the weir are not to be ignored in the analysis.</t>
        </r>
      </text>
    </comment>
    <comment ref="O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raw weights are written in my lab book for this day. This value is "g Disk" - 62.9855g</t>
        </r>
      </text>
    </comment>
    <comment ref="P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difference between g_disk and g_wiped in my lab book</t>
        </r>
      </text>
    </comment>
    <comment ref="Q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g_disk minus g_wiped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lighter color. Darker cell pack H=0.164</t>
        </r>
      </text>
    </comment>
  </commentList>
</comments>
</file>

<file path=xl/sharedStrings.xml><?xml version="1.0" encoding="utf-8"?>
<sst xmlns="http://schemas.openxmlformats.org/spreadsheetml/2006/main" count="490" uniqueCount="85">
  <si>
    <t>Disk</t>
  </si>
  <si>
    <t>12H</t>
  </si>
  <si>
    <t>HCT</t>
  </si>
  <si>
    <t>70deg</t>
  </si>
  <si>
    <t>20deg</t>
  </si>
  <si>
    <t>Date</t>
  </si>
  <si>
    <t>Sex</t>
  </si>
  <si>
    <t>M</t>
  </si>
  <si>
    <t>HCT_plas</t>
  </si>
  <si>
    <t>UV280</t>
  </si>
  <si>
    <t>UV421</t>
  </si>
  <si>
    <t>UV600</t>
  </si>
  <si>
    <t>UV700</t>
  </si>
  <si>
    <t>Oneway Analysis of g_plas By Disk</t>
  </si>
  <si>
    <t>Std Err Dif</t>
  </si>
  <si>
    <t>DF</t>
  </si>
  <si>
    <t>Upper CL Dif</t>
  </si>
  <si>
    <t>Prob &gt; |t|</t>
  </si>
  <si>
    <t>Lower CL Dif</t>
  </si>
  <si>
    <t>Prob &gt; t</t>
  </si>
  <si>
    <t>Confidence</t>
  </si>
  <si>
    <t>Prob &lt; t</t>
  </si>
  <si>
    <t>Excluded Rows</t>
  </si>
  <si>
    <t>tube</t>
  </si>
  <si>
    <t>g_plas1</t>
  </si>
  <si>
    <t>g_plas2</t>
  </si>
  <si>
    <t>gplas_tot</t>
  </si>
  <si>
    <t>Tube</t>
  </si>
  <si>
    <t>whole</t>
  </si>
  <si>
    <t>plasma</t>
  </si>
  <si>
    <t>Type</t>
  </si>
  <si>
    <t>SE</t>
  </si>
  <si>
    <t>t_crit_95</t>
  </si>
  <si>
    <t>95% confidence</t>
  </si>
  <si>
    <t>Holdup</t>
  </si>
  <si>
    <t>Comments</t>
  </si>
  <si>
    <t>lysed</t>
  </si>
  <si>
    <t>70deg_0</t>
  </si>
  <si>
    <t>20deg_0</t>
  </si>
  <si>
    <t>70deg_16</t>
  </si>
  <si>
    <t>20deg_16</t>
  </si>
  <si>
    <t>Plas_final</t>
  </si>
  <si>
    <t>Plas_initial</t>
  </si>
  <si>
    <t>CollectionDelaySeconds</t>
  </si>
  <si>
    <t>70deg_16b</t>
  </si>
  <si>
    <t>20deg_16b</t>
  </si>
  <si>
    <t>20deg_0b</t>
  </si>
  <si>
    <t>70deg_0b</t>
  </si>
  <si>
    <t>70deg_.05in_16b</t>
  </si>
  <si>
    <t>F</t>
  </si>
  <si>
    <t>16b_glossy</t>
  </si>
  <si>
    <t>0b_glossy</t>
  </si>
  <si>
    <t>20.05_16x3_glossy_peo</t>
  </si>
  <si>
    <t>20.05_16x3_glossy_3mL</t>
  </si>
  <si>
    <t>20.05_16x3_glossy_5mL</t>
  </si>
  <si>
    <t>Trough Volume</t>
  </si>
  <si>
    <t>g_trough</t>
  </si>
  <si>
    <t>g_wiped</t>
  </si>
  <si>
    <t>20.05_16x3_glossy_4mL</t>
  </si>
  <si>
    <t>g_disk</t>
  </si>
  <si>
    <t>HCT_trough</t>
  </si>
  <si>
    <t>HCT_disk</t>
  </si>
  <si>
    <t>20.05_8x3_glossy_4mL</t>
  </si>
  <si>
    <t>20.05_8x3long_glossy_4mL</t>
  </si>
  <si>
    <t>Donor</t>
  </si>
  <si>
    <t>A</t>
  </si>
  <si>
    <t>B</t>
  </si>
  <si>
    <t>20.05_8x3long_0.75x9mm_glossy</t>
  </si>
  <si>
    <t>Moat_glossy</t>
  </si>
  <si>
    <t>control-5</t>
  </si>
  <si>
    <t>control-4</t>
  </si>
  <si>
    <t>control-3</t>
  </si>
  <si>
    <t>spin-3</t>
  </si>
  <si>
    <t>spin-4</t>
  </si>
  <si>
    <t>spin-5</t>
  </si>
  <si>
    <t>bac_recovery</t>
  </si>
  <si>
    <t>c_control-3</t>
  </si>
  <si>
    <t>c_control-4</t>
  </si>
  <si>
    <t>c_control-5</t>
  </si>
  <si>
    <t>c_spin-3</t>
  </si>
  <si>
    <t>c_spin-4</t>
  </si>
  <si>
    <t>c_spin-5</t>
  </si>
  <si>
    <t>Moat2_glossy</t>
  </si>
  <si>
    <t>20.05_8x3_1.25x7mm</t>
  </si>
  <si>
    <t>20.05_8x3_1.25x9mm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</si>
</sst>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164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Weir holdup vs plasma recovery</a:t>
            </a:r>
          </a:p>
        </c:rich>
      </c:tx>
      <c:layout>
        <c:manualLayout>
          <c:xMode val="edge"/>
          <c:yMode val="edge"/>
          <c:x val="0.12855646344018437"/>
          <c:y val="3.3222591362126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Main_page_wide!$I$8:$I$15</c:f>
              <c:numCache>
                <c:formatCode>General</c:formatCode>
                <c:ptCount val="8"/>
                <c:pt idx="0">
                  <c:v>3.0890000000000004</c:v>
                </c:pt>
                <c:pt idx="1">
                  <c:v>3.080685714285714</c:v>
                </c:pt>
                <c:pt idx="2">
                  <c:v>2.9493000000000009</c:v>
                </c:pt>
                <c:pt idx="3">
                  <c:v>3.7954000000000008</c:v>
                </c:pt>
                <c:pt idx="4">
                  <c:v>3.3218999999999994</c:v>
                </c:pt>
                <c:pt idx="5">
                  <c:v>3.4311999999999996</c:v>
                </c:pt>
                <c:pt idx="6">
                  <c:v>3.7329999999999997</c:v>
                </c:pt>
                <c:pt idx="7">
                  <c:v>3.9050000000000002</c:v>
                </c:pt>
              </c:numCache>
            </c:numRef>
          </c:xVal>
          <c:yVal>
            <c:numRef>
              <c:f>Main_page_wide!$J$8:$J$15</c:f>
              <c:numCache>
                <c:formatCode>General</c:formatCode>
                <c:ptCount val="8"/>
                <c:pt idx="0">
                  <c:v>0.35</c:v>
                </c:pt>
                <c:pt idx="1">
                  <c:v>0.55000000000000004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BE-4BB3-83A6-8706B9602D6E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999520"/>
        <c:axId val="1477000608"/>
      </c:scatterChart>
      <c:valAx>
        <c:axId val="14769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g_plasma recovery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00608"/>
        <c:crosses val="autoZero"/>
        <c:crossBetween val="midCat"/>
      </c:valAx>
      <c:valAx>
        <c:axId val="14770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holdup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</xdr:colOff>
      <xdr:row>1</xdr:row>
      <xdr:rowOff>160020</xdr:rowOff>
    </xdr:from>
    <xdr:to>
      <xdr:col>24</xdr:col>
      <xdr:colOff>571765</xdr:colOff>
      <xdr:row>21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BFBBC99-885F-4EF6-B984-4882307E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80" y="342900"/>
          <a:ext cx="4762765" cy="3581400"/>
        </a:xfrm>
        <a:prstGeom prst="rect">
          <a:avLst/>
        </a:prstGeom>
      </xdr:spPr>
    </xdr:pic>
    <xdr:clientData/>
  </xdr:twoCellAnchor>
  <xdr:twoCellAnchor editAs="oneCell">
    <xdr:from>
      <xdr:col>19</xdr:col>
      <xdr:colOff>601980</xdr:colOff>
      <xdr:row>23</xdr:row>
      <xdr:rowOff>15240</xdr:rowOff>
    </xdr:from>
    <xdr:to>
      <xdr:col>25</xdr:col>
      <xdr:colOff>15506</xdr:colOff>
      <xdr:row>41</xdr:row>
      <xdr:rowOff>46008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346EC53-EF7D-4616-BDFA-5D8CA0D5F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26980" y="5135880"/>
          <a:ext cx="3071126" cy="3322608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33</xdr:row>
      <xdr:rowOff>15240</xdr:rowOff>
    </xdr:from>
    <xdr:to>
      <xdr:col>15</xdr:col>
      <xdr:colOff>141199</xdr:colOff>
      <xdr:row>49</xdr:row>
      <xdr:rowOff>38356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A121844-DCEF-493C-B950-938332696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6301740"/>
          <a:ext cx="2551024" cy="3071116"/>
        </a:xfrm>
        <a:prstGeom prst="rect">
          <a:avLst/>
        </a:prstGeom>
      </xdr:spPr>
    </xdr:pic>
    <xdr:clientData/>
  </xdr:twoCellAnchor>
  <xdr:twoCellAnchor editAs="oneCell">
    <xdr:from>
      <xdr:col>11</xdr:col>
      <xdr:colOff>596265</xdr:colOff>
      <xdr:row>17</xdr:row>
      <xdr:rowOff>120015</xdr:rowOff>
    </xdr:from>
    <xdr:to>
      <xdr:col>17</xdr:col>
      <xdr:colOff>406065</xdr:colOff>
      <xdr:row>31</xdr:row>
      <xdr:rowOff>5926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F3493C57-AF06-4E58-AE0A-802C6FD0D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5545" y="3228975"/>
          <a:ext cx="3467400" cy="2446231"/>
        </a:xfrm>
        <a:prstGeom prst="rect">
          <a:avLst/>
        </a:prstGeom>
      </xdr:spPr>
    </xdr:pic>
    <xdr:clientData/>
  </xdr:twoCellAnchor>
  <xdr:twoCellAnchor editAs="oneCell">
    <xdr:from>
      <xdr:col>12</xdr:col>
      <xdr:colOff>139373</xdr:colOff>
      <xdr:row>32</xdr:row>
      <xdr:rowOff>17145</xdr:rowOff>
    </xdr:from>
    <xdr:to>
      <xdr:col>18</xdr:col>
      <xdr:colOff>137159</xdr:colOff>
      <xdr:row>47</xdr:row>
      <xdr:rowOff>179423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6F423840-B72F-4217-9ED7-6AC9B7BDA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8253" y="5869305"/>
          <a:ext cx="3655386" cy="2905478"/>
        </a:xfrm>
        <a:prstGeom prst="rect">
          <a:avLst/>
        </a:prstGeom>
      </xdr:spPr>
    </xdr:pic>
    <xdr:clientData/>
  </xdr:twoCellAnchor>
  <xdr:twoCellAnchor>
    <xdr:from>
      <xdr:col>12</xdr:col>
      <xdr:colOff>249555</xdr:colOff>
      <xdr:row>7</xdr:row>
      <xdr:rowOff>127635</xdr:rowOff>
    </xdr:from>
    <xdr:to>
      <xdr:col>17</xdr:col>
      <xdr:colOff>327660</xdr:colOff>
      <xdr:row>19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C7C2062-9BD2-442C-85A1-AC7A4EB0E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"/>
  <sheetViews>
    <sheetView topLeftCell="A22" workbookViewId="0">
      <selection activeCell="I8" sqref="I8:I15"/>
    </sheetView>
  </sheetViews>
  <sheetFormatPr defaultColWidth="8.85546875" defaultRowHeight="15" x14ac:dyDescent="0.25"/>
  <cols>
    <col min="1" max="1" width="9.7109375" bestFit="1" customWidth="1"/>
    <col min="2" max="2" width="5.140625" bestFit="1" customWidth="1"/>
    <col min="3" max="3" width="10.5703125" customWidth="1"/>
    <col min="4" max="4" width="4.140625" bestFit="1" customWidth="1"/>
    <col min="5" max="5" width="8.28515625" customWidth="1"/>
    <col min="6" max="6" width="9.5703125" customWidth="1"/>
    <col min="7" max="7" width="7" bestFit="1" customWidth="1"/>
    <col min="8" max="10" width="7" customWidth="1"/>
    <col min="11" max="11" width="7.28515625" customWidth="1"/>
  </cols>
  <sheetData>
    <row r="1" spans="1:22" x14ac:dyDescent="0.25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43</v>
      </c>
      <c r="G1" t="s">
        <v>42</v>
      </c>
      <c r="H1" t="s">
        <v>41</v>
      </c>
      <c r="I1" t="s">
        <v>26</v>
      </c>
      <c r="J1" t="s">
        <v>34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35</v>
      </c>
    </row>
    <row r="2" spans="1:22" x14ac:dyDescent="0.25">
      <c r="A2" s="1">
        <v>43242</v>
      </c>
      <c r="B2" s="5">
        <v>1</v>
      </c>
      <c r="C2" t="s">
        <v>1</v>
      </c>
      <c r="D2" t="s">
        <v>7</v>
      </c>
      <c r="E2" s="2">
        <v>48</v>
      </c>
      <c r="I2">
        <v>4.0156999999999998</v>
      </c>
    </row>
    <row r="3" spans="1:22" x14ac:dyDescent="0.25">
      <c r="A3" s="1">
        <v>43242</v>
      </c>
      <c r="B3" s="5">
        <v>2</v>
      </c>
      <c r="C3" t="s">
        <v>1</v>
      </c>
      <c r="D3" t="s">
        <v>7</v>
      </c>
      <c r="E3" s="2">
        <v>48</v>
      </c>
      <c r="I3">
        <v>3.9187999999999992</v>
      </c>
    </row>
    <row r="4" spans="1:22" x14ac:dyDescent="0.25">
      <c r="A4" s="1">
        <v>43242</v>
      </c>
      <c r="B4" s="5">
        <v>3</v>
      </c>
      <c r="C4" t="s">
        <v>39</v>
      </c>
      <c r="D4" t="s">
        <v>7</v>
      </c>
      <c r="E4" s="2">
        <v>48</v>
      </c>
      <c r="I4">
        <v>4.4285000000000005</v>
      </c>
      <c r="S4" t="s">
        <v>13</v>
      </c>
    </row>
    <row r="5" spans="1:22" x14ac:dyDescent="0.25">
      <c r="A5" s="1">
        <v>43242</v>
      </c>
      <c r="B5" s="5">
        <v>4</v>
      </c>
      <c r="C5" t="s">
        <v>39</v>
      </c>
      <c r="D5" t="s">
        <v>7</v>
      </c>
      <c r="E5" s="2">
        <v>48</v>
      </c>
      <c r="I5">
        <v>4.8489000000000004</v>
      </c>
    </row>
    <row r="6" spans="1:22" x14ac:dyDescent="0.25">
      <c r="A6" s="1">
        <v>43242</v>
      </c>
      <c r="B6" s="5">
        <v>5</v>
      </c>
      <c r="C6" t="s">
        <v>40</v>
      </c>
      <c r="D6" t="s">
        <v>7</v>
      </c>
      <c r="E6" s="2">
        <v>48</v>
      </c>
      <c r="I6">
        <v>3.5714999999999995</v>
      </c>
    </row>
    <row r="7" spans="1:22" x14ac:dyDescent="0.25">
      <c r="A7" s="1">
        <v>43242</v>
      </c>
      <c r="B7" s="5">
        <v>6</v>
      </c>
      <c r="C7" t="s">
        <v>40</v>
      </c>
      <c r="D7" t="s">
        <v>7</v>
      </c>
      <c r="E7" s="2">
        <v>48</v>
      </c>
      <c r="I7">
        <v>4.0186999999999991</v>
      </c>
    </row>
    <row r="8" spans="1:22" x14ac:dyDescent="0.25">
      <c r="A8" s="1">
        <v>43258</v>
      </c>
      <c r="B8" s="5">
        <v>1</v>
      </c>
      <c r="C8" t="s">
        <v>38</v>
      </c>
      <c r="D8" t="s">
        <v>7</v>
      </c>
      <c r="E8" s="2">
        <v>49</v>
      </c>
      <c r="F8">
        <v>60</v>
      </c>
      <c r="G8">
        <f>H8</f>
        <v>3.0890000000000004</v>
      </c>
      <c r="H8">
        <v>3.0890000000000004</v>
      </c>
      <c r="I8" s="4">
        <f>H8</f>
        <v>3.0890000000000004</v>
      </c>
      <c r="J8" s="4">
        <v>0.35</v>
      </c>
      <c r="K8">
        <v>2.7</v>
      </c>
      <c r="S8" t="s">
        <v>14</v>
      </c>
      <c r="T8">
        <v>0.25727</v>
      </c>
      <c r="U8" t="s">
        <v>15</v>
      </c>
      <c r="V8">
        <v>6.7259070000000003</v>
      </c>
    </row>
    <row r="9" spans="1:22" x14ac:dyDescent="0.25">
      <c r="A9" s="1">
        <v>43258</v>
      </c>
      <c r="B9" s="5">
        <v>2</v>
      </c>
      <c r="C9" t="s">
        <v>37</v>
      </c>
      <c r="D9" t="s">
        <v>7</v>
      </c>
      <c r="E9" s="2">
        <v>49</v>
      </c>
      <c r="F9">
        <v>60</v>
      </c>
      <c r="G9" s="3">
        <v>2.4636857142857149</v>
      </c>
      <c r="H9" s="4">
        <v>0.6169999999999991</v>
      </c>
      <c r="I9" s="4">
        <f>H9+G9</f>
        <v>3.080685714285714</v>
      </c>
      <c r="J9" s="4">
        <v>0.55000000000000004</v>
      </c>
      <c r="K9">
        <v>3.1850000000000001</v>
      </c>
      <c r="S9" t="s">
        <v>16</v>
      </c>
      <c r="T9">
        <v>1.3108900000000001</v>
      </c>
      <c r="U9" t="s">
        <v>17</v>
      </c>
      <c r="V9">
        <v>3.1300000000000001E-2</v>
      </c>
    </row>
    <row r="10" spans="1:22" x14ac:dyDescent="0.25">
      <c r="A10" s="1">
        <v>43258</v>
      </c>
      <c r="B10" s="5">
        <v>3</v>
      </c>
      <c r="C10" t="s">
        <v>37</v>
      </c>
      <c r="D10" t="s">
        <v>7</v>
      </c>
      <c r="E10" s="2">
        <v>49</v>
      </c>
      <c r="F10">
        <v>60</v>
      </c>
      <c r="G10">
        <v>2.1307000000000009</v>
      </c>
      <c r="H10">
        <v>0.81859999999999999</v>
      </c>
      <c r="I10" s="4">
        <f t="shared" ref="I10:I21" si="0">H10+G10</f>
        <v>2.9493000000000009</v>
      </c>
      <c r="J10" s="4">
        <v>0.8</v>
      </c>
      <c r="K10">
        <v>3.8099999999999996</v>
      </c>
      <c r="S10" t="s">
        <v>18</v>
      </c>
      <c r="T10">
        <v>8.405E-2</v>
      </c>
      <c r="U10" t="s">
        <v>19</v>
      </c>
      <c r="V10">
        <v>1.5699999999999999E-2</v>
      </c>
    </row>
    <row r="11" spans="1:22" x14ac:dyDescent="0.25">
      <c r="A11" s="1">
        <v>43258</v>
      </c>
      <c r="B11" s="5">
        <v>4</v>
      </c>
      <c r="C11" t="s">
        <v>37</v>
      </c>
      <c r="D11" t="s">
        <v>7</v>
      </c>
      <c r="E11" s="2">
        <v>49</v>
      </c>
      <c r="F11">
        <v>60</v>
      </c>
      <c r="G11">
        <v>3.2942</v>
      </c>
      <c r="H11">
        <v>0.50120000000000076</v>
      </c>
      <c r="I11" s="4">
        <f t="shared" si="0"/>
        <v>3.7954000000000008</v>
      </c>
      <c r="J11" s="4">
        <v>0.6</v>
      </c>
      <c r="K11">
        <v>3.8949999999999996</v>
      </c>
      <c r="S11" t="s">
        <v>20</v>
      </c>
      <c r="T11">
        <v>0.95</v>
      </c>
      <c r="U11" t="s">
        <v>21</v>
      </c>
      <c r="V11">
        <v>0.98429999999999995</v>
      </c>
    </row>
    <row r="12" spans="1:22" x14ac:dyDescent="0.25">
      <c r="A12" s="1">
        <v>43258</v>
      </c>
      <c r="B12" s="5">
        <v>5</v>
      </c>
      <c r="C12" t="s">
        <v>38</v>
      </c>
      <c r="D12" t="s">
        <v>7</v>
      </c>
      <c r="E12" s="2">
        <v>49</v>
      </c>
      <c r="F12">
        <v>60</v>
      </c>
      <c r="G12">
        <v>3.2371999999999996</v>
      </c>
      <c r="H12">
        <v>8.4699999999999775E-2</v>
      </c>
      <c r="I12" s="4">
        <f t="shared" si="0"/>
        <v>3.3218999999999994</v>
      </c>
      <c r="J12" s="4">
        <v>0.4</v>
      </c>
      <c r="K12">
        <v>3.07</v>
      </c>
    </row>
    <row r="13" spans="1:22" x14ac:dyDescent="0.25">
      <c r="A13" s="1">
        <v>43258</v>
      </c>
      <c r="B13" s="5">
        <v>6</v>
      </c>
      <c r="C13" t="s">
        <v>38</v>
      </c>
      <c r="D13" t="s">
        <v>7</v>
      </c>
      <c r="E13" s="2">
        <v>49</v>
      </c>
      <c r="F13">
        <v>60</v>
      </c>
      <c r="G13">
        <v>3.2792000000000003</v>
      </c>
      <c r="H13">
        <v>0.15199999999999925</v>
      </c>
      <c r="I13" s="4">
        <f t="shared" si="0"/>
        <v>3.4311999999999996</v>
      </c>
      <c r="J13" s="4">
        <v>0.5</v>
      </c>
      <c r="K13">
        <v>3.79</v>
      </c>
    </row>
    <row r="14" spans="1:22" x14ac:dyDescent="0.25">
      <c r="A14" s="1">
        <v>43258</v>
      </c>
      <c r="B14" s="5">
        <v>7</v>
      </c>
      <c r="C14" t="s">
        <v>38</v>
      </c>
      <c r="D14" t="s">
        <v>7</v>
      </c>
      <c r="E14" s="2">
        <v>49</v>
      </c>
      <c r="F14">
        <v>60</v>
      </c>
      <c r="G14">
        <v>3.5134999999999996</v>
      </c>
      <c r="H14">
        <v>0.21950000000000003</v>
      </c>
      <c r="I14" s="4">
        <f t="shared" si="0"/>
        <v>3.7329999999999997</v>
      </c>
      <c r="J14" s="4">
        <v>0.7</v>
      </c>
      <c r="K14">
        <f>(5.94+6.36)/2</f>
        <v>6.15</v>
      </c>
      <c r="S14" t="s">
        <v>22</v>
      </c>
      <c r="T14">
        <v>3</v>
      </c>
    </row>
    <row r="15" spans="1:22" x14ac:dyDescent="0.25">
      <c r="A15" s="1">
        <v>43258</v>
      </c>
      <c r="B15" s="5">
        <v>8</v>
      </c>
      <c r="C15" t="s">
        <v>37</v>
      </c>
      <c r="D15" t="s">
        <v>7</v>
      </c>
      <c r="E15" s="2">
        <v>49</v>
      </c>
      <c r="F15">
        <v>60</v>
      </c>
      <c r="G15">
        <v>3.7808999999999999</v>
      </c>
      <c r="H15">
        <v>0.12410000000000032</v>
      </c>
      <c r="I15" s="4">
        <f t="shared" si="0"/>
        <v>3.9050000000000002</v>
      </c>
      <c r="J15" s="4">
        <v>0.6</v>
      </c>
      <c r="K15">
        <f>(4.29+4.59)/2</f>
        <v>4.4399999999999995</v>
      </c>
    </row>
    <row r="16" spans="1:22" x14ac:dyDescent="0.25">
      <c r="A16" s="1">
        <v>43264</v>
      </c>
      <c r="B16" s="5">
        <v>1</v>
      </c>
      <c r="C16" t="s">
        <v>37</v>
      </c>
      <c r="D16" t="s">
        <v>7</v>
      </c>
      <c r="F16">
        <v>30</v>
      </c>
      <c r="G16">
        <v>3.0929000000000002</v>
      </c>
      <c r="H16">
        <v>4.9500000000000099E-2</v>
      </c>
      <c r="I16" s="4">
        <f t="shared" si="0"/>
        <v>3.1424000000000003</v>
      </c>
    </row>
    <row r="17" spans="1:20" x14ac:dyDescent="0.25">
      <c r="A17" s="1">
        <v>43264</v>
      </c>
      <c r="B17" s="5">
        <v>2</v>
      </c>
      <c r="C17" t="s">
        <v>37</v>
      </c>
      <c r="D17" t="s">
        <v>7</v>
      </c>
      <c r="F17">
        <v>30</v>
      </c>
      <c r="G17">
        <v>3.5048000000000004</v>
      </c>
      <c r="H17">
        <v>0.3642000000000003</v>
      </c>
      <c r="I17" s="4">
        <f t="shared" si="0"/>
        <v>3.8690000000000007</v>
      </c>
    </row>
    <row r="18" spans="1:20" x14ac:dyDescent="0.25">
      <c r="A18" s="1">
        <v>43264</v>
      </c>
      <c r="B18" s="2">
        <v>3</v>
      </c>
      <c r="C18" t="s">
        <v>37</v>
      </c>
      <c r="D18" t="s">
        <v>7</v>
      </c>
      <c r="F18">
        <v>30</v>
      </c>
      <c r="G18">
        <v>1.5942999999999996</v>
      </c>
      <c r="H18">
        <v>0.12849999999999984</v>
      </c>
      <c r="I18" s="4">
        <f t="shared" si="0"/>
        <v>1.7227999999999994</v>
      </c>
      <c r="P18" s="2" t="s">
        <v>27</v>
      </c>
      <c r="Q18" t="s">
        <v>30</v>
      </c>
      <c r="R18" t="s">
        <v>2</v>
      </c>
    </row>
    <row r="19" spans="1:20" x14ac:dyDescent="0.25">
      <c r="A19" s="1">
        <v>43264</v>
      </c>
      <c r="B19" s="2">
        <v>4</v>
      </c>
      <c r="C19" t="s">
        <v>1</v>
      </c>
      <c r="D19" t="s">
        <v>7</v>
      </c>
      <c r="F19">
        <v>30</v>
      </c>
      <c r="G19">
        <v>4.2109999999999994</v>
      </c>
      <c r="H19" s="4">
        <v>0.28710000000000058</v>
      </c>
      <c r="I19" s="4">
        <f t="shared" si="0"/>
        <v>4.4981</v>
      </c>
      <c r="P19" s="2">
        <v>1</v>
      </c>
      <c r="Q19" t="s">
        <v>28</v>
      </c>
      <c r="R19">
        <v>49.3</v>
      </c>
      <c r="S19">
        <f>_xlfn.STDEV.S(R19:R30)/SQRT(COUNT(R19:R30))</f>
        <v>0.31491420989844154</v>
      </c>
      <c r="T19" t="s">
        <v>31</v>
      </c>
    </row>
    <row r="20" spans="1:20" x14ac:dyDescent="0.25">
      <c r="A20" s="1">
        <v>43264</v>
      </c>
      <c r="B20" s="2">
        <v>5</v>
      </c>
      <c r="C20" t="s">
        <v>38</v>
      </c>
      <c r="D20" t="s">
        <v>7</v>
      </c>
      <c r="F20">
        <v>30</v>
      </c>
      <c r="G20">
        <v>3.2352999999999996</v>
      </c>
      <c r="H20">
        <v>0.58030000000000115</v>
      </c>
      <c r="I20" s="4">
        <f t="shared" si="0"/>
        <v>3.8156000000000008</v>
      </c>
      <c r="K20" s="4"/>
      <c r="P20" s="2">
        <v>1</v>
      </c>
      <c r="Q20" t="s">
        <v>28</v>
      </c>
      <c r="R20">
        <v>49.2</v>
      </c>
      <c r="S20">
        <f>_xlfn.T.INV.2T(0.05,COUNT(R19:R30)-1)</f>
        <v>2.2009851600916384</v>
      </c>
      <c r="T20" t="s">
        <v>32</v>
      </c>
    </row>
    <row r="21" spans="1:20" x14ac:dyDescent="0.25">
      <c r="A21" s="1">
        <v>43264</v>
      </c>
      <c r="B21" s="2">
        <v>6</v>
      </c>
      <c r="C21" t="s">
        <v>37</v>
      </c>
      <c r="D21" t="s">
        <v>7</v>
      </c>
      <c r="F21">
        <v>30</v>
      </c>
      <c r="G21">
        <v>3.1165000000000003</v>
      </c>
      <c r="H21">
        <v>0.7524999999999995</v>
      </c>
      <c r="I21" s="4">
        <f t="shared" si="0"/>
        <v>3.8689999999999998</v>
      </c>
      <c r="P21" s="2">
        <v>2</v>
      </c>
      <c r="Q21" t="s">
        <v>28</v>
      </c>
      <c r="R21">
        <v>48.7</v>
      </c>
      <c r="S21">
        <f>S19*S20</f>
        <v>0.69312150268845318</v>
      </c>
      <c r="T21" t="s">
        <v>33</v>
      </c>
    </row>
    <row r="22" spans="1:20" x14ac:dyDescent="0.25">
      <c r="A22" s="1"/>
      <c r="B22" s="2"/>
      <c r="P22" s="2">
        <v>2</v>
      </c>
      <c r="Q22" t="s">
        <v>28</v>
      </c>
      <c r="R22">
        <v>49.2</v>
      </c>
    </row>
    <row r="23" spans="1:20" x14ac:dyDescent="0.25">
      <c r="A23" s="1"/>
      <c r="B23" s="2"/>
      <c r="P23" s="2">
        <v>3</v>
      </c>
      <c r="Q23" t="s">
        <v>28</v>
      </c>
      <c r="R23">
        <v>49.23</v>
      </c>
    </row>
    <row r="24" spans="1:20" x14ac:dyDescent="0.25">
      <c r="A24" s="1"/>
      <c r="B24" s="2"/>
      <c r="P24" s="2">
        <v>3</v>
      </c>
      <c r="Q24" t="s">
        <v>28</v>
      </c>
      <c r="R24">
        <v>49.25</v>
      </c>
    </row>
    <row r="25" spans="1:20" x14ac:dyDescent="0.25">
      <c r="A25" s="1"/>
      <c r="B25" s="2"/>
      <c r="P25" s="2">
        <v>4</v>
      </c>
      <c r="Q25" t="s">
        <v>28</v>
      </c>
      <c r="R25">
        <v>48.43</v>
      </c>
    </row>
    <row r="26" spans="1:20" x14ac:dyDescent="0.25">
      <c r="A26" s="1"/>
      <c r="B26" s="2"/>
      <c r="P26" s="2">
        <v>4</v>
      </c>
      <c r="Q26" t="s">
        <v>28</v>
      </c>
      <c r="R26">
        <v>49.62</v>
      </c>
    </row>
    <row r="27" spans="1:20" x14ac:dyDescent="0.25">
      <c r="A27" s="1"/>
      <c r="B27" s="2"/>
      <c r="H27" s="4"/>
      <c r="P27" s="2">
        <v>5</v>
      </c>
      <c r="Q27" t="s">
        <v>28</v>
      </c>
      <c r="R27">
        <v>50.77</v>
      </c>
    </row>
    <row r="28" spans="1:20" x14ac:dyDescent="0.25">
      <c r="A28" s="1"/>
      <c r="B28" s="2"/>
      <c r="P28" s="2">
        <v>5</v>
      </c>
      <c r="Q28" t="s">
        <v>28</v>
      </c>
      <c r="R28">
        <v>49.25</v>
      </c>
    </row>
    <row r="29" spans="1:20" x14ac:dyDescent="0.25">
      <c r="A29" s="1"/>
      <c r="B29" s="2"/>
      <c r="P29" s="2">
        <v>6</v>
      </c>
      <c r="Q29" t="s">
        <v>28</v>
      </c>
      <c r="R29">
        <v>46.04</v>
      </c>
    </row>
    <row r="30" spans="1:20" x14ac:dyDescent="0.25">
      <c r="A30" s="1"/>
      <c r="B30" s="2"/>
      <c r="P30" s="2">
        <v>6</v>
      </c>
      <c r="Q30" t="s">
        <v>28</v>
      </c>
      <c r="R30">
        <v>49.23</v>
      </c>
    </row>
    <row r="31" spans="1:20" x14ac:dyDescent="0.25">
      <c r="A31" s="1"/>
      <c r="B31" s="2"/>
      <c r="P31" s="2">
        <v>1</v>
      </c>
      <c r="Q31" t="s">
        <v>29</v>
      </c>
      <c r="R31">
        <v>2.9</v>
      </c>
      <c r="S31">
        <f>_xlfn.STDEV.S(R31:R42)/SQRT(COUNT(R31:R42))</f>
        <v>0.18259424023132939</v>
      </c>
      <c r="T31" t="s">
        <v>31</v>
      </c>
    </row>
    <row r="32" spans="1:20" x14ac:dyDescent="0.25">
      <c r="A32" s="1"/>
      <c r="B32" s="2"/>
      <c r="P32" s="2">
        <v>1</v>
      </c>
      <c r="Q32" t="s">
        <v>29</v>
      </c>
      <c r="R32">
        <v>2.5</v>
      </c>
      <c r="S32">
        <f>_xlfn.T.INV.2T(0.05,COUNT(R31:R42)-1)</f>
        <v>2.2009851600916384</v>
      </c>
      <c r="T32" t="s">
        <v>32</v>
      </c>
    </row>
    <row r="33" spans="1:20" x14ac:dyDescent="0.25">
      <c r="A33" s="1"/>
      <c r="B33" s="2"/>
      <c r="P33" s="2">
        <v>2</v>
      </c>
      <c r="Q33" t="s">
        <v>29</v>
      </c>
      <c r="R33">
        <v>3.2</v>
      </c>
      <c r="S33">
        <f>S31*S32</f>
        <v>0.40188721306736358</v>
      </c>
      <c r="T33" t="s">
        <v>33</v>
      </c>
    </row>
    <row r="34" spans="1:20" x14ac:dyDescent="0.25">
      <c r="A34" s="1"/>
      <c r="B34" s="2"/>
      <c r="P34" s="2">
        <v>2</v>
      </c>
      <c r="Q34" t="s">
        <v>29</v>
      </c>
      <c r="R34">
        <v>3.17</v>
      </c>
    </row>
    <row r="35" spans="1:20" x14ac:dyDescent="0.25">
      <c r="A35" s="1"/>
      <c r="B35" s="2"/>
      <c r="P35" s="2">
        <v>3</v>
      </c>
      <c r="Q35" t="s">
        <v>29</v>
      </c>
      <c r="R35">
        <v>3.07</v>
      </c>
    </row>
    <row r="36" spans="1:20" x14ac:dyDescent="0.25">
      <c r="A36" s="1"/>
      <c r="B36" s="2"/>
      <c r="P36" s="2">
        <v>3</v>
      </c>
      <c r="Q36" t="s">
        <v>29</v>
      </c>
      <c r="R36">
        <v>4.55</v>
      </c>
    </row>
    <row r="37" spans="1:20" x14ac:dyDescent="0.25">
      <c r="A37" s="1"/>
      <c r="B37" s="2"/>
      <c r="P37" s="2">
        <v>4</v>
      </c>
      <c r="Q37" t="s">
        <v>29</v>
      </c>
      <c r="R37">
        <v>4.5199999999999996</v>
      </c>
    </row>
    <row r="38" spans="1:20" x14ac:dyDescent="0.25">
      <c r="A38" s="1"/>
      <c r="B38" s="2"/>
      <c r="P38" s="2">
        <v>4</v>
      </c>
      <c r="Q38" t="s">
        <v>29</v>
      </c>
      <c r="R38">
        <v>3.27</v>
      </c>
    </row>
    <row r="39" spans="1:20" x14ac:dyDescent="0.25">
      <c r="A39" s="1"/>
      <c r="B39" s="2"/>
      <c r="P39" s="2">
        <v>5</v>
      </c>
      <c r="Q39" t="s">
        <v>29</v>
      </c>
      <c r="R39">
        <v>3.07</v>
      </c>
    </row>
    <row r="40" spans="1:20" x14ac:dyDescent="0.25">
      <c r="A40" s="1"/>
      <c r="B40" s="2"/>
      <c r="P40" s="2">
        <v>5</v>
      </c>
      <c r="Q40" t="s">
        <v>29</v>
      </c>
      <c r="R40">
        <v>3.07</v>
      </c>
    </row>
    <row r="41" spans="1:20" x14ac:dyDescent="0.25">
      <c r="A41" s="1"/>
      <c r="B41" s="2"/>
      <c r="P41" s="2">
        <v>6</v>
      </c>
      <c r="Q41" t="s">
        <v>29</v>
      </c>
      <c r="R41">
        <v>3.68</v>
      </c>
    </row>
    <row r="42" spans="1:20" x14ac:dyDescent="0.25">
      <c r="P42" s="2">
        <v>6</v>
      </c>
      <c r="Q42" t="s">
        <v>29</v>
      </c>
      <c r="R42">
        <v>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149"/>
  <sheetViews>
    <sheetView tabSelected="1" workbookViewId="0">
      <pane ySplit="1" topLeftCell="A119" activePane="bottomLeft" state="frozen"/>
      <selection pane="bottomLeft" activeCell="K138" sqref="K138:K149"/>
    </sheetView>
  </sheetViews>
  <sheetFormatPr defaultRowHeight="15" x14ac:dyDescent="0.25"/>
  <cols>
    <col min="1" max="1" width="9.7109375" bestFit="1" customWidth="1"/>
    <col min="2" max="2" width="5.42578125" bestFit="1" customWidth="1"/>
    <col min="3" max="3" width="5.42578125" customWidth="1"/>
    <col min="4" max="4" width="23.28515625" customWidth="1"/>
    <col min="5" max="5" width="14.7109375" bestFit="1" customWidth="1"/>
    <col min="6" max="6" width="7.28515625" customWidth="1"/>
    <col min="7" max="10" width="8.85546875" style="6"/>
    <col min="11" max="11" width="8.85546875" style="10"/>
    <col min="12" max="12" width="8.85546875" style="9"/>
    <col min="13" max="14" width="9.140625" style="9"/>
    <col min="15" max="16" width="8.85546875" style="10"/>
    <col min="18" max="18" width="8.5703125" style="10" bestFit="1" customWidth="1"/>
    <col min="24" max="29" width="10" customWidth="1"/>
  </cols>
  <sheetData>
    <row r="1" spans="1:30" x14ac:dyDescent="0.25">
      <c r="A1" t="s">
        <v>5</v>
      </c>
      <c r="B1" t="s">
        <v>23</v>
      </c>
      <c r="C1" t="s">
        <v>64</v>
      </c>
      <c r="D1" t="s">
        <v>0</v>
      </c>
      <c r="E1" t="s">
        <v>55</v>
      </c>
      <c r="F1" t="s">
        <v>6</v>
      </c>
      <c r="G1" s="5" t="s">
        <v>2</v>
      </c>
      <c r="H1" t="s">
        <v>43</v>
      </c>
      <c r="I1" t="s">
        <v>42</v>
      </c>
      <c r="J1" t="s">
        <v>41</v>
      </c>
      <c r="K1" t="s">
        <v>26</v>
      </c>
      <c r="L1" s="5" t="s">
        <v>8</v>
      </c>
      <c r="M1" s="5" t="s">
        <v>60</v>
      </c>
      <c r="N1" s="5" t="s">
        <v>61</v>
      </c>
      <c r="O1" s="5" t="s">
        <v>59</v>
      </c>
      <c r="P1" s="5" t="s">
        <v>57</v>
      </c>
      <c r="Q1" s="5" t="s">
        <v>56</v>
      </c>
      <c r="R1" s="10" t="s">
        <v>71</v>
      </c>
      <c r="S1" s="5" t="s">
        <v>70</v>
      </c>
      <c r="T1" s="5" t="s">
        <v>69</v>
      </c>
      <c r="U1" s="5" t="s">
        <v>72</v>
      </c>
      <c r="V1" s="5" t="s">
        <v>73</v>
      </c>
      <c r="W1" s="5" t="s">
        <v>74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t="s">
        <v>75</v>
      </c>
    </row>
    <row r="2" spans="1:30" x14ac:dyDescent="0.25">
      <c r="A2" s="1">
        <v>43242</v>
      </c>
      <c r="B2" s="5">
        <v>1</v>
      </c>
      <c r="C2" s="5"/>
      <c r="D2" t="s">
        <v>1</v>
      </c>
      <c r="E2">
        <v>4</v>
      </c>
      <c r="F2" t="s">
        <v>7</v>
      </c>
      <c r="G2" s="6">
        <v>0.48</v>
      </c>
      <c r="H2" s="6">
        <v>0</v>
      </c>
      <c r="I2" s="6">
        <v>0</v>
      </c>
      <c r="J2" s="6">
        <v>0</v>
      </c>
      <c r="K2" s="10">
        <v>4.0156999999999998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</row>
    <row r="3" spans="1:30" x14ac:dyDescent="0.25">
      <c r="A3" s="1">
        <v>43242</v>
      </c>
      <c r="B3" s="5">
        <v>2</v>
      </c>
      <c r="C3" s="5"/>
      <c r="D3" t="s">
        <v>1</v>
      </c>
      <c r="E3">
        <v>4</v>
      </c>
      <c r="F3" t="s">
        <v>7</v>
      </c>
      <c r="G3" s="6">
        <v>0.48</v>
      </c>
      <c r="K3" s="10">
        <v>3.9187999999999992</v>
      </c>
      <c r="O3" s="9"/>
      <c r="P3" s="9"/>
    </row>
    <row r="4" spans="1:30" x14ac:dyDescent="0.25">
      <c r="A4" s="1">
        <v>43242</v>
      </c>
      <c r="B4" s="5">
        <v>3</v>
      </c>
      <c r="C4" s="5"/>
      <c r="D4" t="s">
        <v>44</v>
      </c>
      <c r="E4">
        <v>4</v>
      </c>
      <c r="F4" t="s">
        <v>7</v>
      </c>
      <c r="G4" s="6">
        <v>0.48</v>
      </c>
      <c r="K4" s="10">
        <v>4.4285000000000005</v>
      </c>
      <c r="O4" s="9"/>
      <c r="P4" s="9"/>
    </row>
    <row r="5" spans="1:30" x14ac:dyDescent="0.25">
      <c r="A5" s="1">
        <v>43242</v>
      </c>
      <c r="B5" s="5">
        <v>4</v>
      </c>
      <c r="C5" s="5"/>
      <c r="D5" t="s">
        <v>44</v>
      </c>
      <c r="E5">
        <v>4</v>
      </c>
      <c r="F5" t="s">
        <v>7</v>
      </c>
      <c r="G5" s="6">
        <v>0.48</v>
      </c>
      <c r="K5" s="10">
        <v>4.8489000000000004</v>
      </c>
      <c r="O5" s="9"/>
      <c r="P5" s="9"/>
    </row>
    <row r="6" spans="1:30" x14ac:dyDescent="0.25">
      <c r="A6" s="1">
        <v>43242</v>
      </c>
      <c r="B6" s="5">
        <v>5</v>
      </c>
      <c r="C6" s="5"/>
      <c r="D6" t="s">
        <v>45</v>
      </c>
      <c r="E6">
        <v>4</v>
      </c>
      <c r="F6" t="s">
        <v>7</v>
      </c>
      <c r="G6" s="6">
        <v>0.48</v>
      </c>
      <c r="K6" s="10">
        <v>3.5714999999999995</v>
      </c>
      <c r="O6" s="9"/>
      <c r="P6" s="9"/>
    </row>
    <row r="7" spans="1:30" x14ac:dyDescent="0.25">
      <c r="A7" s="1">
        <v>43242</v>
      </c>
      <c r="B7" s="5">
        <v>6</v>
      </c>
      <c r="C7" s="5"/>
      <c r="D7" t="s">
        <v>45</v>
      </c>
      <c r="E7">
        <v>4</v>
      </c>
      <c r="F7" t="s">
        <v>7</v>
      </c>
      <c r="G7" s="6">
        <v>0.48</v>
      </c>
      <c r="K7" s="10">
        <v>4.0186999999999991</v>
      </c>
      <c r="O7" s="9"/>
      <c r="P7" s="9"/>
    </row>
    <row r="8" spans="1:30" x14ac:dyDescent="0.25">
      <c r="A8" s="1">
        <v>43258</v>
      </c>
      <c r="B8" s="5">
        <v>1</v>
      </c>
      <c r="C8" s="5"/>
      <c r="D8" t="s">
        <v>46</v>
      </c>
      <c r="E8">
        <v>4</v>
      </c>
      <c r="F8" t="s">
        <v>7</v>
      </c>
      <c r="G8" s="6">
        <v>0.49</v>
      </c>
      <c r="H8" s="6">
        <v>60</v>
      </c>
      <c r="I8" s="6">
        <f>J8</f>
        <v>3.0890000000000004</v>
      </c>
      <c r="J8" s="6">
        <v>3.0890000000000004</v>
      </c>
      <c r="K8" s="12">
        <f>J8</f>
        <v>3.0890000000000004</v>
      </c>
      <c r="L8" s="9">
        <v>2.7000000000000003E-2</v>
      </c>
      <c r="O8" s="9"/>
      <c r="P8" s="9"/>
    </row>
    <row r="9" spans="1:30" x14ac:dyDescent="0.25">
      <c r="A9" s="1">
        <v>43258</v>
      </c>
      <c r="B9" s="5">
        <v>2</v>
      </c>
      <c r="C9" s="5"/>
      <c r="D9" t="s">
        <v>47</v>
      </c>
      <c r="E9">
        <v>4</v>
      </c>
      <c r="F9" t="s">
        <v>7</v>
      </c>
      <c r="G9" s="6">
        <v>0.49</v>
      </c>
      <c r="H9" s="6">
        <v>60</v>
      </c>
      <c r="I9" s="8">
        <v>2.4636857142857149</v>
      </c>
      <c r="J9" s="7">
        <v>0.6169999999999991</v>
      </c>
      <c r="K9" s="12">
        <f>J9+I9</f>
        <v>3.080685714285714</v>
      </c>
      <c r="L9" s="9">
        <v>3.1850000000000003E-2</v>
      </c>
      <c r="O9" s="9"/>
      <c r="P9" s="9"/>
    </row>
    <row r="10" spans="1:30" x14ac:dyDescent="0.25">
      <c r="A10" s="1">
        <v>43258</v>
      </c>
      <c r="B10" s="5">
        <v>3</v>
      </c>
      <c r="C10" s="5"/>
      <c r="D10" t="s">
        <v>47</v>
      </c>
      <c r="E10">
        <v>4</v>
      </c>
      <c r="F10" t="s">
        <v>7</v>
      </c>
      <c r="G10" s="6">
        <v>0.49</v>
      </c>
      <c r="H10" s="6">
        <v>60</v>
      </c>
      <c r="I10" s="6">
        <v>2.1307000000000009</v>
      </c>
      <c r="J10" s="6">
        <v>0.81859999999999999</v>
      </c>
      <c r="K10" s="12">
        <f t="shared" ref="K10:K21" si="0">J10+I10</f>
        <v>2.9493000000000009</v>
      </c>
      <c r="L10" s="9">
        <v>3.8099999999999995E-2</v>
      </c>
      <c r="O10" s="9"/>
      <c r="P10" s="9"/>
    </row>
    <row r="11" spans="1:30" x14ac:dyDescent="0.25">
      <c r="A11" s="1">
        <v>43258</v>
      </c>
      <c r="B11" s="5">
        <v>4</v>
      </c>
      <c r="C11" s="5"/>
      <c r="D11" t="s">
        <v>47</v>
      </c>
      <c r="E11">
        <v>4</v>
      </c>
      <c r="F11" t="s">
        <v>7</v>
      </c>
      <c r="G11" s="6">
        <v>0.49</v>
      </c>
      <c r="H11" s="6">
        <v>60</v>
      </c>
      <c r="I11" s="6">
        <v>3.2942</v>
      </c>
      <c r="J11" s="6">
        <v>0.50120000000000076</v>
      </c>
      <c r="K11" s="12">
        <f t="shared" si="0"/>
        <v>3.7954000000000008</v>
      </c>
      <c r="L11" s="9">
        <v>3.8949999999999999E-2</v>
      </c>
      <c r="O11" s="9"/>
      <c r="P11" s="9"/>
    </row>
    <row r="12" spans="1:30" x14ac:dyDescent="0.25">
      <c r="A12" s="1">
        <v>43258</v>
      </c>
      <c r="B12" s="5">
        <v>5</v>
      </c>
      <c r="C12" s="5"/>
      <c r="D12" t="s">
        <v>46</v>
      </c>
      <c r="E12">
        <v>4</v>
      </c>
      <c r="F12" t="s">
        <v>7</v>
      </c>
      <c r="G12" s="6">
        <v>0.49</v>
      </c>
      <c r="H12" s="6">
        <v>60</v>
      </c>
      <c r="I12" s="6">
        <v>3.2371999999999996</v>
      </c>
      <c r="J12" s="6">
        <v>8.4699999999999775E-2</v>
      </c>
      <c r="K12" s="12">
        <f t="shared" si="0"/>
        <v>3.3218999999999994</v>
      </c>
      <c r="L12" s="9">
        <v>3.0699999999999998E-2</v>
      </c>
      <c r="O12" s="9"/>
      <c r="P12" s="9"/>
    </row>
    <row r="13" spans="1:30" x14ac:dyDescent="0.25">
      <c r="A13" s="1">
        <v>43258</v>
      </c>
      <c r="B13" s="5">
        <v>6</v>
      </c>
      <c r="C13" s="5"/>
      <c r="D13" t="s">
        <v>46</v>
      </c>
      <c r="E13">
        <v>4</v>
      </c>
      <c r="F13" t="s">
        <v>7</v>
      </c>
      <c r="G13" s="6">
        <v>0.49</v>
      </c>
      <c r="H13" s="6">
        <v>60</v>
      </c>
      <c r="I13" s="6">
        <v>3.2792000000000003</v>
      </c>
      <c r="J13" s="6">
        <v>0.15199999999999925</v>
      </c>
      <c r="K13" s="12">
        <f t="shared" si="0"/>
        <v>3.4311999999999996</v>
      </c>
      <c r="L13" s="9">
        <v>3.7900000000000003E-2</v>
      </c>
      <c r="O13" s="9"/>
      <c r="P13" s="9"/>
    </row>
    <row r="14" spans="1:30" x14ac:dyDescent="0.25">
      <c r="A14" s="1">
        <v>43258</v>
      </c>
      <c r="B14" s="5">
        <v>7</v>
      </c>
      <c r="C14" s="5"/>
      <c r="D14" t="s">
        <v>46</v>
      </c>
      <c r="E14">
        <v>4</v>
      </c>
      <c r="F14" t="s">
        <v>7</v>
      </c>
      <c r="G14" s="6">
        <v>0.49</v>
      </c>
      <c r="H14" s="6">
        <v>60</v>
      </c>
      <c r="I14" s="6">
        <v>3.5134999999999996</v>
      </c>
      <c r="J14" s="6">
        <v>0.21950000000000003</v>
      </c>
      <c r="K14" s="12">
        <f t="shared" si="0"/>
        <v>3.7329999999999997</v>
      </c>
      <c r="L14" s="9">
        <v>6.1500000000000006E-2</v>
      </c>
      <c r="O14" s="9"/>
      <c r="P14" s="9"/>
    </row>
    <row r="15" spans="1:30" x14ac:dyDescent="0.25">
      <c r="A15" s="1">
        <v>43258</v>
      </c>
      <c r="B15" s="5">
        <v>8</v>
      </c>
      <c r="C15" s="5"/>
      <c r="D15" t="s">
        <v>47</v>
      </c>
      <c r="E15">
        <v>4</v>
      </c>
      <c r="F15" t="s">
        <v>7</v>
      </c>
      <c r="G15" s="6">
        <v>0.49</v>
      </c>
      <c r="H15" s="6">
        <v>60</v>
      </c>
      <c r="I15" s="6">
        <v>3.7808999999999999</v>
      </c>
      <c r="J15" s="6">
        <v>0.12410000000000032</v>
      </c>
      <c r="K15" s="12">
        <f t="shared" si="0"/>
        <v>3.9050000000000002</v>
      </c>
      <c r="L15" s="9">
        <v>4.4399999999999995E-2</v>
      </c>
      <c r="O15" s="9"/>
      <c r="P15" s="9"/>
    </row>
    <row r="16" spans="1:30" x14ac:dyDescent="0.25">
      <c r="A16" s="1">
        <v>43264</v>
      </c>
      <c r="B16" s="5">
        <v>1</v>
      </c>
      <c r="C16" s="5"/>
      <c r="D16" t="s">
        <v>47</v>
      </c>
      <c r="E16">
        <v>4</v>
      </c>
      <c r="F16" t="s">
        <v>7</v>
      </c>
      <c r="H16" s="6">
        <v>30</v>
      </c>
      <c r="I16" s="6">
        <v>3.0929000000000002</v>
      </c>
      <c r="J16" s="6">
        <v>4.9500000000000099E-2</v>
      </c>
      <c r="K16" s="12">
        <f t="shared" si="0"/>
        <v>3.1424000000000003</v>
      </c>
      <c r="O16" s="9"/>
      <c r="P16" s="9"/>
    </row>
    <row r="17" spans="1:16" x14ac:dyDescent="0.25">
      <c r="A17" s="1">
        <v>43264</v>
      </c>
      <c r="B17" s="5">
        <v>2</v>
      </c>
      <c r="C17" s="5"/>
      <c r="D17" t="s">
        <v>47</v>
      </c>
      <c r="E17">
        <v>4</v>
      </c>
      <c r="F17" t="s">
        <v>7</v>
      </c>
      <c r="H17" s="6">
        <v>30</v>
      </c>
      <c r="I17" s="6">
        <v>3.5048000000000004</v>
      </c>
      <c r="J17" s="6">
        <v>0.3642000000000003</v>
      </c>
      <c r="K17" s="12">
        <f t="shared" si="0"/>
        <v>3.8690000000000007</v>
      </c>
      <c r="O17" s="9"/>
      <c r="P17" s="9"/>
    </row>
    <row r="18" spans="1:16" x14ac:dyDescent="0.25">
      <c r="A18" s="1">
        <v>43264</v>
      </c>
      <c r="B18" s="2">
        <v>3</v>
      </c>
      <c r="C18" s="2"/>
      <c r="D18" t="s">
        <v>47</v>
      </c>
      <c r="E18">
        <v>4</v>
      </c>
      <c r="F18" t="s">
        <v>7</v>
      </c>
      <c r="H18" s="6">
        <v>30</v>
      </c>
      <c r="I18" s="6">
        <v>1.5942999999999996</v>
      </c>
      <c r="J18" s="6">
        <v>0.12849999999999984</v>
      </c>
      <c r="K18" s="12">
        <f t="shared" si="0"/>
        <v>1.7227999999999994</v>
      </c>
      <c r="O18" s="9"/>
      <c r="P18" s="9"/>
    </row>
    <row r="19" spans="1:16" x14ac:dyDescent="0.25">
      <c r="A19" s="1">
        <v>43264</v>
      </c>
      <c r="B19" s="2">
        <v>4</v>
      </c>
      <c r="C19" s="2"/>
      <c r="D19" t="s">
        <v>1</v>
      </c>
      <c r="E19">
        <v>4</v>
      </c>
      <c r="F19" t="s">
        <v>7</v>
      </c>
      <c r="H19" s="6">
        <v>30</v>
      </c>
      <c r="I19" s="6">
        <v>4.2109999999999994</v>
      </c>
      <c r="J19" s="7">
        <v>0.28710000000000058</v>
      </c>
      <c r="K19" s="12">
        <f t="shared" si="0"/>
        <v>4.4981</v>
      </c>
      <c r="O19" s="9"/>
      <c r="P19" s="9"/>
    </row>
    <row r="20" spans="1:16" x14ac:dyDescent="0.25">
      <c r="A20" s="1">
        <v>43264</v>
      </c>
      <c r="B20" s="2">
        <v>5</v>
      </c>
      <c r="C20" s="2"/>
      <c r="D20" t="s">
        <v>46</v>
      </c>
      <c r="E20">
        <v>4</v>
      </c>
      <c r="F20" t="s">
        <v>7</v>
      </c>
      <c r="H20" s="6">
        <v>30</v>
      </c>
      <c r="I20" s="6">
        <v>3.2352999999999996</v>
      </c>
      <c r="J20" s="6">
        <v>0.58030000000000115</v>
      </c>
      <c r="K20" s="12">
        <f t="shared" si="0"/>
        <v>3.8156000000000008</v>
      </c>
      <c r="L20" s="11"/>
      <c r="M20" s="11"/>
      <c r="N20" s="11"/>
      <c r="O20" s="9"/>
      <c r="P20" s="9"/>
    </row>
    <row r="21" spans="1:16" x14ac:dyDescent="0.25">
      <c r="A21" s="1">
        <v>43264</v>
      </c>
      <c r="B21" s="2">
        <v>6</v>
      </c>
      <c r="C21" s="2"/>
      <c r="D21" t="s">
        <v>47</v>
      </c>
      <c r="E21">
        <v>4</v>
      </c>
      <c r="F21" t="s">
        <v>7</v>
      </c>
      <c r="H21" s="6">
        <v>30</v>
      </c>
      <c r="I21" s="6">
        <v>3.1165000000000003</v>
      </c>
      <c r="J21" s="6">
        <v>0.7524999999999995</v>
      </c>
      <c r="K21" s="12">
        <f t="shared" si="0"/>
        <v>3.8689999999999998</v>
      </c>
      <c r="O21" s="9"/>
      <c r="P21" s="9"/>
    </row>
    <row r="22" spans="1:16" x14ac:dyDescent="0.25">
      <c r="A22" s="1">
        <v>43293</v>
      </c>
      <c r="B22" s="2">
        <v>1</v>
      </c>
      <c r="C22" s="2"/>
      <c r="D22" t="s">
        <v>48</v>
      </c>
      <c r="E22">
        <v>4</v>
      </c>
      <c r="F22" t="s">
        <v>49</v>
      </c>
      <c r="G22" s="6">
        <v>0.375</v>
      </c>
      <c r="K22" s="10">
        <v>4.2569999999999997</v>
      </c>
      <c r="O22" s="9"/>
      <c r="P22" s="9"/>
    </row>
    <row r="23" spans="1:16" x14ac:dyDescent="0.25">
      <c r="A23" s="1">
        <v>43298</v>
      </c>
      <c r="B23" s="2">
        <v>1</v>
      </c>
      <c r="C23" s="2"/>
      <c r="D23" t="s">
        <v>50</v>
      </c>
      <c r="E23">
        <v>4</v>
      </c>
      <c r="F23" t="s">
        <v>49</v>
      </c>
      <c r="G23" s="6">
        <v>0.47</v>
      </c>
      <c r="K23" s="12">
        <f>7.4768-3.277</f>
        <v>4.1997999999999998</v>
      </c>
      <c r="L23" s="9">
        <v>0.02</v>
      </c>
      <c r="O23" s="9"/>
      <c r="P23" s="9"/>
    </row>
    <row r="24" spans="1:16" x14ac:dyDescent="0.25">
      <c r="A24" s="1">
        <v>43298</v>
      </c>
      <c r="B24" s="2">
        <v>2</v>
      </c>
      <c r="C24" s="2"/>
      <c r="D24" t="s">
        <v>50</v>
      </c>
      <c r="E24">
        <v>4</v>
      </c>
      <c r="F24" t="s">
        <v>49</v>
      </c>
      <c r="G24" s="6">
        <v>0.47</v>
      </c>
      <c r="K24" s="12">
        <f>7.5523-3.2415</f>
        <v>4.3108000000000004</v>
      </c>
      <c r="L24" s="9">
        <v>1.9E-2</v>
      </c>
      <c r="O24" s="9"/>
      <c r="P24" s="9"/>
    </row>
    <row r="25" spans="1:16" x14ac:dyDescent="0.25">
      <c r="A25" s="1">
        <v>43298</v>
      </c>
      <c r="B25" s="2">
        <v>3</v>
      </c>
      <c r="C25" s="2"/>
      <c r="D25" t="s">
        <v>50</v>
      </c>
      <c r="E25">
        <v>4</v>
      </c>
      <c r="F25" t="s">
        <v>49</v>
      </c>
      <c r="G25" s="6">
        <v>0.47</v>
      </c>
      <c r="K25" s="10">
        <f>7.551-3.211</f>
        <v>4.34</v>
      </c>
      <c r="L25" s="9">
        <v>0.03</v>
      </c>
      <c r="O25" s="9"/>
      <c r="P25" s="9"/>
    </row>
    <row r="26" spans="1:16" x14ac:dyDescent="0.25">
      <c r="A26" s="1">
        <v>43298</v>
      </c>
      <c r="B26" s="2">
        <v>4</v>
      </c>
      <c r="C26" s="2"/>
      <c r="D26" t="s">
        <v>50</v>
      </c>
      <c r="E26">
        <v>4</v>
      </c>
      <c r="F26" t="s">
        <v>49</v>
      </c>
      <c r="G26" s="6">
        <v>0.47</v>
      </c>
      <c r="K26" s="10">
        <f>7.2486-3.2521</f>
        <v>3.9964999999999997</v>
      </c>
      <c r="L26" s="9">
        <v>2.5000000000000001E-2</v>
      </c>
      <c r="O26" s="9"/>
      <c r="P26" s="9"/>
    </row>
    <row r="27" spans="1:16" x14ac:dyDescent="0.25">
      <c r="A27" s="1">
        <v>43298</v>
      </c>
      <c r="B27" s="2">
        <v>6</v>
      </c>
      <c r="C27" s="2"/>
      <c r="D27" t="s">
        <v>50</v>
      </c>
      <c r="E27">
        <v>4</v>
      </c>
      <c r="F27" t="s">
        <v>49</v>
      </c>
      <c r="G27" s="6">
        <v>0.47</v>
      </c>
      <c r="J27" s="7"/>
      <c r="K27" s="10">
        <f>7.2572-3.1967</f>
        <v>4.0605000000000002</v>
      </c>
      <c r="L27" s="9">
        <v>0.03</v>
      </c>
      <c r="O27" s="9"/>
      <c r="P27" s="9"/>
    </row>
    <row r="28" spans="1:16" x14ac:dyDescent="0.25">
      <c r="A28" s="1">
        <v>43298</v>
      </c>
      <c r="B28" s="2">
        <v>7</v>
      </c>
      <c r="C28" s="2"/>
      <c r="D28" t="s">
        <v>50</v>
      </c>
      <c r="E28">
        <v>4</v>
      </c>
      <c r="F28" t="s">
        <v>49</v>
      </c>
      <c r="G28" s="6">
        <v>0.47</v>
      </c>
      <c r="K28" s="10">
        <f>7.1968-3.1967</f>
        <v>4.0000999999999998</v>
      </c>
      <c r="L28" s="9">
        <v>2.5000000000000001E-2</v>
      </c>
      <c r="O28" s="9"/>
      <c r="P28" s="9"/>
    </row>
    <row r="29" spans="1:16" x14ac:dyDescent="0.25">
      <c r="A29" s="1">
        <v>43305</v>
      </c>
      <c r="B29" s="2">
        <v>1</v>
      </c>
      <c r="C29" s="2"/>
      <c r="D29" t="s">
        <v>48</v>
      </c>
      <c r="E29">
        <v>4</v>
      </c>
      <c r="F29" t="s">
        <v>7</v>
      </c>
      <c r="G29" s="6">
        <v>0.51700000000000002</v>
      </c>
      <c r="K29" s="10">
        <f>6.3862-3.1917</f>
        <v>3.1944999999999997</v>
      </c>
      <c r="L29" s="9">
        <v>0.03</v>
      </c>
      <c r="O29" s="9"/>
      <c r="P29" s="9"/>
    </row>
    <row r="30" spans="1:16" x14ac:dyDescent="0.25">
      <c r="A30" s="1">
        <v>43305</v>
      </c>
      <c r="B30" s="2">
        <v>2</v>
      </c>
      <c r="C30" s="2"/>
      <c r="D30" t="s">
        <v>45</v>
      </c>
      <c r="E30">
        <v>4</v>
      </c>
      <c r="F30" t="s">
        <v>7</v>
      </c>
      <c r="G30" s="6">
        <v>0.51700000000000002</v>
      </c>
      <c r="K30" s="10">
        <f>6.6819-3.2412</f>
        <v>3.4406999999999996</v>
      </c>
      <c r="L30" s="9">
        <v>0.06</v>
      </c>
      <c r="O30" s="9"/>
      <c r="P30" s="9"/>
    </row>
    <row r="31" spans="1:16" x14ac:dyDescent="0.25">
      <c r="A31" s="1">
        <v>43305</v>
      </c>
      <c r="B31" s="2">
        <v>3</v>
      </c>
      <c r="C31" s="2"/>
      <c r="D31" t="s">
        <v>48</v>
      </c>
      <c r="E31">
        <v>4</v>
      </c>
      <c r="F31" t="s">
        <v>7</v>
      </c>
      <c r="G31" s="6">
        <v>0.51700000000000002</v>
      </c>
      <c r="J31" s="6">
        <f>6.8216-3.2054</f>
        <v>3.6162000000000001</v>
      </c>
      <c r="K31" s="10">
        <f>6.1269-3.2054</f>
        <v>2.9215</v>
      </c>
      <c r="L31" s="9">
        <v>0.06</v>
      </c>
      <c r="O31" s="9"/>
      <c r="P31" s="9"/>
    </row>
    <row r="32" spans="1:16" x14ac:dyDescent="0.25">
      <c r="A32" s="1">
        <v>43305</v>
      </c>
      <c r="B32" s="2">
        <v>4</v>
      </c>
      <c r="C32" s="2"/>
      <c r="D32" t="s">
        <v>48</v>
      </c>
      <c r="E32">
        <v>4</v>
      </c>
      <c r="F32" t="s">
        <v>7</v>
      </c>
      <c r="G32" s="6">
        <v>0.51700000000000002</v>
      </c>
      <c r="J32" s="6">
        <f>7.004-3.231</f>
        <v>3.7729999999999997</v>
      </c>
      <c r="K32" s="10">
        <f>6.1418-3.231</f>
        <v>2.9108000000000001</v>
      </c>
      <c r="L32" s="9">
        <v>9.5000000000000001E-2</v>
      </c>
      <c r="O32" s="9"/>
      <c r="P32" s="9"/>
    </row>
    <row r="33" spans="1:16" x14ac:dyDescent="0.25">
      <c r="A33" s="1">
        <v>43305</v>
      </c>
      <c r="B33" s="2">
        <v>5</v>
      </c>
      <c r="C33" s="2"/>
      <c r="D33" t="s">
        <v>48</v>
      </c>
      <c r="E33">
        <v>4</v>
      </c>
      <c r="F33" t="s">
        <v>7</v>
      </c>
      <c r="G33" s="6">
        <v>0.51700000000000002</v>
      </c>
      <c r="K33" s="10">
        <f>6.844-3.254</f>
        <v>3.5900000000000003</v>
      </c>
      <c r="L33" s="9">
        <v>0.05</v>
      </c>
      <c r="O33" s="9"/>
      <c r="P33" s="9"/>
    </row>
    <row r="34" spans="1:16" x14ac:dyDescent="0.25">
      <c r="A34" s="1">
        <v>43305</v>
      </c>
      <c r="B34" s="2">
        <v>6</v>
      </c>
      <c r="C34" s="2"/>
      <c r="D34" t="s">
        <v>44</v>
      </c>
      <c r="E34">
        <v>4</v>
      </c>
      <c r="F34" t="s">
        <v>7</v>
      </c>
      <c r="G34" s="6">
        <v>0.51700000000000002</v>
      </c>
      <c r="K34" s="10">
        <f>6.6718-3.2044</f>
        <v>3.4674</v>
      </c>
      <c r="L34" s="9">
        <v>7.0000000000000007E-2</v>
      </c>
      <c r="O34" s="9"/>
      <c r="P34" s="9"/>
    </row>
    <row r="35" spans="1:16" x14ac:dyDescent="0.25">
      <c r="A35" s="1">
        <v>43305</v>
      </c>
      <c r="B35" s="2">
        <v>7</v>
      </c>
      <c r="C35" s="2"/>
      <c r="D35" t="s">
        <v>44</v>
      </c>
      <c r="E35">
        <v>4</v>
      </c>
      <c r="F35" t="s">
        <v>7</v>
      </c>
      <c r="G35" s="6">
        <v>0.51700000000000002</v>
      </c>
      <c r="K35" s="10">
        <f>7.505-3.2453</f>
        <v>4.2597000000000005</v>
      </c>
      <c r="L35" s="9">
        <v>0.123</v>
      </c>
      <c r="O35" s="9"/>
      <c r="P35" s="9"/>
    </row>
    <row r="36" spans="1:16" x14ac:dyDescent="0.25">
      <c r="A36" s="1">
        <v>43305</v>
      </c>
      <c r="B36" s="2">
        <v>8</v>
      </c>
      <c r="C36" s="2"/>
      <c r="D36" t="s">
        <v>44</v>
      </c>
      <c r="E36">
        <v>4</v>
      </c>
      <c r="F36" t="s">
        <v>7</v>
      </c>
      <c r="G36" s="6">
        <v>0.51700000000000002</v>
      </c>
      <c r="K36" s="10">
        <f>7.2492-3.1983</f>
        <v>4.0509000000000004</v>
      </c>
      <c r="L36" s="9">
        <v>0.105</v>
      </c>
      <c r="O36" s="9"/>
      <c r="P36" s="9"/>
    </row>
    <row r="37" spans="1:16" x14ac:dyDescent="0.25">
      <c r="A37" s="1">
        <v>43307</v>
      </c>
      <c r="B37" s="2">
        <v>1</v>
      </c>
      <c r="C37" s="2"/>
      <c r="D37" t="s">
        <v>45</v>
      </c>
      <c r="E37">
        <v>4</v>
      </c>
      <c r="F37" t="s">
        <v>7</v>
      </c>
      <c r="G37" s="6">
        <f>0.4925</f>
        <v>0.49249999999999999</v>
      </c>
      <c r="K37" s="10">
        <f>7.5334-3.2795</f>
        <v>4.2538999999999998</v>
      </c>
      <c r="L37" s="9">
        <v>9.5000000000000001E-2</v>
      </c>
      <c r="O37" s="9"/>
      <c r="P37" s="9"/>
    </row>
    <row r="38" spans="1:16" x14ac:dyDescent="0.25">
      <c r="A38" s="1">
        <v>43307</v>
      </c>
      <c r="B38" s="2">
        <v>2</v>
      </c>
      <c r="C38" s="2"/>
      <c r="D38" t="s">
        <v>50</v>
      </c>
      <c r="E38">
        <v>4</v>
      </c>
      <c r="F38" t="s">
        <v>7</v>
      </c>
      <c r="G38" s="6">
        <f t="shared" ref="G38:G40" si="1">0.4925</f>
        <v>0.49249999999999999</v>
      </c>
      <c r="K38" s="10">
        <f>7.0615-3.1941</f>
        <v>3.8673999999999995</v>
      </c>
      <c r="L38" s="9">
        <v>4.2000000000000003E-2</v>
      </c>
      <c r="O38" s="9"/>
      <c r="P38" s="9"/>
    </row>
    <row r="39" spans="1:16" x14ac:dyDescent="0.25">
      <c r="A39" s="1">
        <v>43307</v>
      </c>
      <c r="B39" s="2">
        <v>3</v>
      </c>
      <c r="C39" s="2"/>
      <c r="D39" t="s">
        <v>50</v>
      </c>
      <c r="E39">
        <v>4</v>
      </c>
      <c r="F39" t="s">
        <v>7</v>
      </c>
      <c r="G39" s="6">
        <f t="shared" si="1"/>
        <v>0.49249999999999999</v>
      </c>
      <c r="K39" s="10">
        <f>7.3025-3.2069</f>
        <v>4.0956000000000001</v>
      </c>
      <c r="L39" s="9">
        <v>0.06</v>
      </c>
      <c r="O39" s="9"/>
      <c r="P39" s="9"/>
    </row>
    <row r="40" spans="1:16" x14ac:dyDescent="0.25">
      <c r="A40" s="1">
        <v>43307</v>
      </c>
      <c r="B40" s="2">
        <v>4</v>
      </c>
      <c r="C40" s="2"/>
      <c r="D40" t="s">
        <v>50</v>
      </c>
      <c r="E40">
        <v>4</v>
      </c>
      <c r="F40" t="s">
        <v>7</v>
      </c>
      <c r="G40" s="6">
        <f t="shared" si="1"/>
        <v>0.49249999999999999</v>
      </c>
      <c r="K40" s="10">
        <f>7.4356-3.2144</f>
        <v>4.2211999999999996</v>
      </c>
      <c r="L40" s="9">
        <v>5.5E-2</v>
      </c>
      <c r="O40" s="9"/>
      <c r="P40" s="9"/>
    </row>
    <row r="41" spans="1:16" x14ac:dyDescent="0.25">
      <c r="A41" s="1">
        <v>43312</v>
      </c>
      <c r="B41" s="2">
        <v>1</v>
      </c>
      <c r="C41" s="2"/>
      <c r="D41" t="s">
        <v>51</v>
      </c>
      <c r="E41">
        <v>4</v>
      </c>
      <c r="F41" t="s">
        <v>7</v>
      </c>
      <c r="G41" s="6">
        <v>0.46250000000000002</v>
      </c>
      <c r="K41" s="10">
        <f>6.7777-3.218</f>
        <v>3.5597000000000003</v>
      </c>
      <c r="L41" s="9">
        <v>0</v>
      </c>
      <c r="O41" s="9"/>
      <c r="P41" s="9"/>
    </row>
    <row r="42" spans="1:16" x14ac:dyDescent="0.25">
      <c r="A42" s="1">
        <v>43312</v>
      </c>
      <c r="B42" s="2">
        <v>2</v>
      </c>
      <c r="C42" s="2"/>
      <c r="D42" t="s">
        <v>51</v>
      </c>
      <c r="E42">
        <v>4</v>
      </c>
      <c r="F42" t="s">
        <v>7</v>
      </c>
      <c r="G42" s="6">
        <v>0.46250000000000002</v>
      </c>
      <c r="K42" s="10">
        <f>6.8167-3.2292</f>
        <v>3.5874999999999999</v>
      </c>
      <c r="L42" s="9">
        <v>1E-4</v>
      </c>
      <c r="O42" s="9"/>
      <c r="P42" s="9"/>
    </row>
    <row r="43" spans="1:16" x14ac:dyDescent="0.25">
      <c r="A43" s="1">
        <v>43312</v>
      </c>
      <c r="B43" s="2">
        <v>3</v>
      </c>
      <c r="C43" s="2"/>
      <c r="D43" t="s">
        <v>51</v>
      </c>
      <c r="E43">
        <v>4</v>
      </c>
      <c r="F43" t="s">
        <v>7</v>
      </c>
      <c r="G43" s="6">
        <v>0.46250000000000002</v>
      </c>
      <c r="K43" s="10">
        <f>6.6962-3.1892</f>
        <v>3.5070000000000001</v>
      </c>
      <c r="L43" s="9">
        <v>0</v>
      </c>
      <c r="O43" s="9"/>
      <c r="P43" s="9"/>
    </row>
    <row r="44" spans="1:16" x14ac:dyDescent="0.25">
      <c r="A44" s="1">
        <v>43312</v>
      </c>
      <c r="B44" s="2">
        <v>4</v>
      </c>
      <c r="C44" s="2"/>
      <c r="D44" t="s">
        <v>51</v>
      </c>
      <c r="E44">
        <v>4</v>
      </c>
      <c r="F44" t="s">
        <v>7</v>
      </c>
      <c r="G44" s="6">
        <v>0.46250000000000002</v>
      </c>
      <c r="K44" s="10">
        <f>6.5128-3.235</f>
        <v>3.2778000000000005</v>
      </c>
      <c r="L44" s="9">
        <v>0</v>
      </c>
      <c r="O44" s="9"/>
      <c r="P44" s="9"/>
    </row>
    <row r="45" spans="1:16" x14ac:dyDescent="0.25">
      <c r="A45" s="1">
        <v>43312</v>
      </c>
      <c r="B45" s="2">
        <v>5</v>
      </c>
      <c r="C45" s="2"/>
      <c r="D45" t="s">
        <v>51</v>
      </c>
      <c r="E45">
        <v>4</v>
      </c>
      <c r="F45" t="s">
        <v>7</v>
      </c>
      <c r="G45" s="6">
        <v>0.46250000000000002</v>
      </c>
      <c r="K45" s="10">
        <f>6.7335-3.2202</f>
        <v>3.5133000000000001</v>
      </c>
      <c r="L45" s="9">
        <v>0</v>
      </c>
      <c r="O45" s="9"/>
      <c r="P45" s="9"/>
    </row>
    <row r="46" spans="1:16" x14ac:dyDescent="0.25">
      <c r="A46" s="1">
        <v>43312</v>
      </c>
      <c r="B46" s="2">
        <v>6</v>
      </c>
      <c r="C46" s="2"/>
      <c r="D46" t="s">
        <v>51</v>
      </c>
      <c r="E46">
        <v>4</v>
      </c>
      <c r="F46" t="s">
        <v>7</v>
      </c>
      <c r="G46" s="6">
        <v>0.46250000000000002</v>
      </c>
      <c r="K46" s="10">
        <f>6.5671-3.2961</f>
        <v>3.2709999999999999</v>
      </c>
      <c r="L46" s="9">
        <v>0</v>
      </c>
      <c r="O46" s="9"/>
      <c r="P46" s="9"/>
    </row>
    <row r="47" spans="1:16" x14ac:dyDescent="0.25">
      <c r="A47" s="1">
        <v>43312</v>
      </c>
      <c r="B47" s="2">
        <v>7</v>
      </c>
      <c r="C47" s="2"/>
      <c r="D47" t="s">
        <v>51</v>
      </c>
      <c r="E47">
        <v>4</v>
      </c>
      <c r="F47" t="s">
        <v>7</v>
      </c>
      <c r="G47" s="6">
        <v>0.46250000000000002</v>
      </c>
      <c r="K47" s="10">
        <f>6.6494-3.1486</f>
        <v>3.5007999999999999</v>
      </c>
      <c r="L47" s="9">
        <v>0</v>
      </c>
      <c r="O47" s="9"/>
      <c r="P47" s="9"/>
    </row>
    <row r="48" spans="1:16" x14ac:dyDescent="0.25">
      <c r="A48" s="1">
        <v>43314</v>
      </c>
      <c r="B48" s="2">
        <v>1</v>
      </c>
      <c r="C48" s="2"/>
      <c r="D48" t="s">
        <v>58</v>
      </c>
      <c r="E48">
        <v>4</v>
      </c>
      <c r="F48" t="s">
        <v>7</v>
      </c>
      <c r="G48" s="6">
        <v>0.46375</v>
      </c>
      <c r="K48" s="10">
        <f>7.2298-3.2043</f>
        <v>4.0255000000000001</v>
      </c>
      <c r="L48" s="9">
        <v>8.0000000000000002E-3</v>
      </c>
      <c r="O48" s="9"/>
      <c r="P48" s="9"/>
    </row>
    <row r="49" spans="1:16" x14ac:dyDescent="0.25">
      <c r="A49" s="1">
        <v>43314</v>
      </c>
      <c r="B49" s="2">
        <v>2</v>
      </c>
      <c r="C49" s="2"/>
      <c r="D49" t="s">
        <v>58</v>
      </c>
      <c r="E49">
        <v>4</v>
      </c>
      <c r="F49" t="s">
        <v>7</v>
      </c>
      <c r="G49" s="6">
        <v>0.46375</v>
      </c>
      <c r="K49" s="10">
        <f>7.3761-3.2445</f>
        <v>4.1316000000000006</v>
      </c>
      <c r="L49" s="9">
        <v>3.0000000000000001E-3</v>
      </c>
      <c r="O49" s="9"/>
      <c r="P49" s="9"/>
    </row>
    <row r="50" spans="1:16" x14ac:dyDescent="0.25">
      <c r="A50" s="1">
        <v>43314</v>
      </c>
      <c r="B50" s="2">
        <v>3</v>
      </c>
      <c r="C50" s="2"/>
      <c r="D50" t="s">
        <v>58</v>
      </c>
      <c r="E50">
        <v>4</v>
      </c>
      <c r="F50" t="s">
        <v>7</v>
      </c>
      <c r="G50" s="6">
        <v>0.46375</v>
      </c>
      <c r="K50" s="10">
        <f>7.1177-3.258</f>
        <v>3.8597000000000001</v>
      </c>
      <c r="L50" s="9">
        <v>0</v>
      </c>
      <c r="O50" s="9"/>
      <c r="P50" s="9"/>
    </row>
    <row r="51" spans="1:16" x14ac:dyDescent="0.25">
      <c r="A51" s="1">
        <v>43314</v>
      </c>
      <c r="B51" s="2">
        <v>4</v>
      </c>
      <c r="C51" s="2"/>
      <c r="D51" t="s">
        <v>58</v>
      </c>
      <c r="E51">
        <v>4</v>
      </c>
      <c r="F51" t="s">
        <v>7</v>
      </c>
      <c r="G51" s="6">
        <v>0.46375</v>
      </c>
      <c r="K51" s="10">
        <f>7.2292-3.2831</f>
        <v>3.9460999999999995</v>
      </c>
      <c r="L51" s="9">
        <v>0</v>
      </c>
      <c r="O51" s="9"/>
      <c r="P51" s="9"/>
    </row>
    <row r="52" spans="1:16" x14ac:dyDescent="0.25">
      <c r="A52" s="1">
        <v>43314</v>
      </c>
      <c r="B52" s="2">
        <v>5</v>
      </c>
      <c r="C52" s="2"/>
      <c r="D52" t="s">
        <v>58</v>
      </c>
      <c r="E52">
        <v>4</v>
      </c>
      <c r="F52" t="s">
        <v>7</v>
      </c>
      <c r="G52" s="6">
        <v>0.46375</v>
      </c>
      <c r="K52" s="10">
        <f>6.9609-3.2199</f>
        <v>3.7409999999999997</v>
      </c>
      <c r="L52" s="9">
        <v>1E-3</v>
      </c>
      <c r="O52" s="9"/>
      <c r="P52" s="9"/>
    </row>
    <row r="53" spans="1:16" x14ac:dyDescent="0.25">
      <c r="A53" s="1">
        <v>43314</v>
      </c>
      <c r="B53" s="2">
        <v>6</v>
      </c>
      <c r="C53" s="2"/>
      <c r="D53" t="s">
        <v>58</v>
      </c>
      <c r="E53">
        <v>4</v>
      </c>
      <c r="F53" t="s">
        <v>7</v>
      </c>
      <c r="G53" s="6">
        <v>0.46375</v>
      </c>
      <c r="K53" s="10">
        <f>7.019-3.1711</f>
        <v>3.8479000000000001</v>
      </c>
      <c r="L53" s="9">
        <v>5.0000000000000001E-3</v>
      </c>
      <c r="O53" s="9"/>
      <c r="P53" s="9"/>
    </row>
    <row r="54" spans="1:16" x14ac:dyDescent="0.25">
      <c r="A54" s="1">
        <v>43314</v>
      </c>
      <c r="B54" s="2">
        <v>7</v>
      </c>
      <c r="C54" s="2"/>
      <c r="D54" t="s">
        <v>58</v>
      </c>
      <c r="E54">
        <v>4</v>
      </c>
      <c r="F54" t="s">
        <v>7</v>
      </c>
      <c r="G54" s="6">
        <v>0.46375</v>
      </c>
      <c r="K54" s="10">
        <f>7.0516-3.1937</f>
        <v>3.8578999999999994</v>
      </c>
      <c r="L54" s="9">
        <v>3.0000000000000001E-3</v>
      </c>
      <c r="O54" s="9"/>
      <c r="P54" s="9"/>
    </row>
    <row r="55" spans="1:16" x14ac:dyDescent="0.25">
      <c r="A55" s="1">
        <v>43314</v>
      </c>
      <c r="B55" s="2">
        <v>8</v>
      </c>
      <c r="C55" s="2"/>
      <c r="D55" t="s">
        <v>58</v>
      </c>
      <c r="E55">
        <v>4</v>
      </c>
      <c r="F55" t="s">
        <v>7</v>
      </c>
      <c r="G55" s="6">
        <v>0.46375</v>
      </c>
      <c r="K55" s="10">
        <f>7.1378-3.2269</f>
        <v>3.9109000000000003</v>
      </c>
      <c r="L55" s="9">
        <v>0</v>
      </c>
      <c r="O55" s="9"/>
      <c r="P55" s="9"/>
    </row>
    <row r="56" spans="1:16" x14ac:dyDescent="0.25">
      <c r="A56" s="1">
        <v>43319</v>
      </c>
      <c r="B56" s="2">
        <v>1</v>
      </c>
      <c r="C56" s="2"/>
      <c r="D56" t="s">
        <v>52</v>
      </c>
      <c r="E56">
        <v>4</v>
      </c>
      <c r="F56" t="s">
        <v>7</v>
      </c>
      <c r="G56" s="6">
        <v>0.52249999999999996</v>
      </c>
      <c r="K56" s="10">
        <f>6.6155-3.1977</f>
        <v>3.4177999999999997</v>
      </c>
      <c r="L56" s="9">
        <v>0.03</v>
      </c>
      <c r="O56" s="9"/>
      <c r="P56" s="9"/>
    </row>
    <row r="57" spans="1:16" x14ac:dyDescent="0.25">
      <c r="A57" s="1">
        <v>43319</v>
      </c>
      <c r="B57" s="2">
        <v>2</v>
      </c>
      <c r="C57" s="2"/>
      <c r="D57" t="s">
        <v>52</v>
      </c>
      <c r="E57">
        <v>4</v>
      </c>
      <c r="F57" t="s">
        <v>7</v>
      </c>
      <c r="G57" s="6">
        <v>0.52249999999999996</v>
      </c>
      <c r="K57" s="10">
        <f>6.8444-3.2468</f>
        <v>3.5976000000000004</v>
      </c>
      <c r="L57" s="9">
        <v>1.4999999999999999E-2</v>
      </c>
      <c r="O57" s="9"/>
      <c r="P57" s="9"/>
    </row>
    <row r="58" spans="1:16" x14ac:dyDescent="0.25">
      <c r="A58" s="1">
        <v>43319</v>
      </c>
      <c r="B58" s="2">
        <v>3</v>
      </c>
      <c r="C58" s="2"/>
      <c r="D58" t="s">
        <v>52</v>
      </c>
      <c r="E58">
        <v>4</v>
      </c>
      <c r="F58" t="s">
        <v>7</v>
      </c>
      <c r="G58" s="6">
        <v>0.52249999999999996</v>
      </c>
      <c r="K58" s="10">
        <f>6.7881-3.2176</f>
        <v>3.5705</v>
      </c>
      <c r="L58" s="9">
        <v>1.7000000000000001E-2</v>
      </c>
      <c r="O58" s="9"/>
      <c r="P58" s="9"/>
    </row>
    <row r="59" spans="1:16" x14ac:dyDescent="0.25">
      <c r="A59" s="1">
        <v>43319</v>
      </c>
      <c r="B59" s="2">
        <v>4</v>
      </c>
      <c r="C59" s="2"/>
      <c r="D59" t="s">
        <v>52</v>
      </c>
      <c r="E59">
        <v>4</v>
      </c>
      <c r="F59" t="s">
        <v>7</v>
      </c>
      <c r="G59" s="6">
        <v>0.52249999999999996</v>
      </c>
      <c r="K59" s="10">
        <f>6.975-3.211</f>
        <v>3.7639999999999998</v>
      </c>
      <c r="L59" s="9">
        <v>2.1000000000000001E-2</v>
      </c>
      <c r="O59" s="9"/>
      <c r="P59" s="9"/>
    </row>
    <row r="60" spans="1:16" x14ac:dyDescent="0.25">
      <c r="A60" s="1">
        <v>43319</v>
      </c>
      <c r="B60" s="2">
        <v>5</v>
      </c>
      <c r="C60" s="2"/>
      <c r="D60" t="s">
        <v>52</v>
      </c>
      <c r="E60">
        <v>4</v>
      </c>
      <c r="F60" t="s">
        <v>7</v>
      </c>
      <c r="G60" s="6">
        <v>0.52249999999999996</v>
      </c>
      <c r="K60" s="10">
        <f>6.7054-3.1923</f>
        <v>3.5131000000000001</v>
      </c>
      <c r="L60" s="9">
        <v>0.01</v>
      </c>
      <c r="O60" s="9"/>
      <c r="P60" s="9"/>
    </row>
    <row r="61" spans="1:16" x14ac:dyDescent="0.25">
      <c r="A61" s="1">
        <v>43319</v>
      </c>
      <c r="B61" s="2">
        <v>6</v>
      </c>
      <c r="C61" s="2"/>
      <c r="D61" t="s">
        <v>52</v>
      </c>
      <c r="E61">
        <v>4</v>
      </c>
      <c r="F61" t="s">
        <v>7</v>
      </c>
      <c r="G61" s="6">
        <v>0.52249999999999996</v>
      </c>
      <c r="K61" s="10">
        <f>6.7717-3.271</f>
        <v>3.5007000000000001</v>
      </c>
      <c r="O61" s="9"/>
      <c r="P61" s="9"/>
    </row>
    <row r="62" spans="1:16" x14ac:dyDescent="0.25">
      <c r="A62" s="1">
        <v>43321</v>
      </c>
      <c r="B62" s="2">
        <v>1</v>
      </c>
      <c r="C62" s="2"/>
      <c r="D62" t="s">
        <v>58</v>
      </c>
      <c r="E62">
        <v>4</v>
      </c>
      <c r="F62" t="s">
        <v>7</v>
      </c>
      <c r="G62" s="6">
        <v>0.52500000000000002</v>
      </c>
      <c r="H62" s="6">
        <v>180</v>
      </c>
      <c r="K62" s="10">
        <f>6.9936-3.2706</f>
        <v>3.7229999999999999</v>
      </c>
      <c r="L62" s="9">
        <v>0.03</v>
      </c>
      <c r="O62" s="9"/>
      <c r="P62" s="9"/>
    </row>
    <row r="63" spans="1:16" x14ac:dyDescent="0.25">
      <c r="A63" s="1">
        <v>43321</v>
      </c>
      <c r="B63" s="2">
        <v>2</v>
      </c>
      <c r="C63" s="2"/>
      <c r="D63" t="s">
        <v>58</v>
      </c>
      <c r="E63">
        <v>4</v>
      </c>
      <c r="F63" t="s">
        <v>7</v>
      </c>
      <c r="G63" s="6">
        <v>0.52500000000000002</v>
      </c>
      <c r="H63" s="6">
        <v>180</v>
      </c>
      <c r="K63" s="10">
        <f>7.3133-3.277</f>
        <v>4.0362999999999998</v>
      </c>
      <c r="L63" s="9">
        <v>0.05</v>
      </c>
      <c r="O63" s="9"/>
      <c r="P63" s="9"/>
    </row>
    <row r="64" spans="1:16" x14ac:dyDescent="0.25">
      <c r="A64" s="1">
        <v>43321</v>
      </c>
      <c r="B64" s="2">
        <v>3</v>
      </c>
      <c r="C64" s="2"/>
      <c r="D64" t="s">
        <v>58</v>
      </c>
      <c r="E64">
        <v>4</v>
      </c>
      <c r="F64" t="s">
        <v>7</v>
      </c>
      <c r="G64" s="6">
        <v>0.60250000000000004</v>
      </c>
      <c r="H64" s="6">
        <v>180</v>
      </c>
      <c r="K64" s="10">
        <f>6.8363-3.216</f>
        <v>3.6202999999999994</v>
      </c>
      <c r="L64" s="9">
        <v>0.155</v>
      </c>
      <c r="O64" s="9"/>
      <c r="P64" s="9"/>
    </row>
    <row r="65" spans="1:16" x14ac:dyDescent="0.25">
      <c r="A65" s="1">
        <v>43321</v>
      </c>
      <c r="B65" s="2">
        <v>4</v>
      </c>
      <c r="C65" s="2"/>
      <c r="D65" t="s">
        <v>58</v>
      </c>
      <c r="E65">
        <v>4</v>
      </c>
      <c r="F65" t="s">
        <v>7</v>
      </c>
      <c r="G65" s="6">
        <v>0.6</v>
      </c>
      <c r="H65" s="6">
        <v>180</v>
      </c>
      <c r="K65" s="10">
        <f>6.8964-3.2236</f>
        <v>3.6728000000000001</v>
      </c>
      <c r="L65" s="9">
        <v>0.16300000000000001</v>
      </c>
      <c r="O65" s="9"/>
      <c r="P65" s="9"/>
    </row>
    <row r="66" spans="1:16" x14ac:dyDescent="0.25">
      <c r="A66" s="1">
        <v>43321</v>
      </c>
      <c r="B66" s="2">
        <v>5</v>
      </c>
      <c r="C66" s="2"/>
      <c r="D66" t="s">
        <v>58</v>
      </c>
      <c r="E66">
        <v>4</v>
      </c>
      <c r="F66" t="s">
        <v>7</v>
      </c>
      <c r="G66" s="6">
        <v>0.56499999999999995</v>
      </c>
      <c r="H66" s="6">
        <v>180</v>
      </c>
      <c r="K66" s="10">
        <f>7.1059-3.2819</f>
        <v>3.8240000000000003</v>
      </c>
      <c r="L66" s="9">
        <v>0.1</v>
      </c>
      <c r="O66" s="9"/>
      <c r="P66" s="9"/>
    </row>
    <row r="67" spans="1:16" x14ac:dyDescent="0.25">
      <c r="A67" s="1">
        <v>43321</v>
      </c>
      <c r="B67" s="2">
        <v>6</v>
      </c>
      <c r="C67" s="2"/>
      <c r="D67" t="s">
        <v>58</v>
      </c>
      <c r="E67">
        <v>4</v>
      </c>
      <c r="F67" t="s">
        <v>7</v>
      </c>
      <c r="G67" s="6">
        <v>0.56000000000000005</v>
      </c>
      <c r="H67" s="6">
        <v>180</v>
      </c>
      <c r="K67" s="10">
        <f>7.0064-3.2121</f>
        <v>3.7943000000000002</v>
      </c>
      <c r="L67" s="9">
        <v>0.1</v>
      </c>
      <c r="O67" s="9"/>
      <c r="P67" s="9"/>
    </row>
    <row r="68" spans="1:16" x14ac:dyDescent="0.25">
      <c r="A68" s="1">
        <v>43321</v>
      </c>
      <c r="B68" s="2">
        <v>7</v>
      </c>
      <c r="C68" s="2"/>
      <c r="D68" t="s">
        <v>58</v>
      </c>
      <c r="E68">
        <v>4</v>
      </c>
      <c r="F68" t="s">
        <v>7</v>
      </c>
      <c r="G68" s="6">
        <v>0.42499999999999999</v>
      </c>
      <c r="H68" s="6">
        <v>180</v>
      </c>
      <c r="K68" s="10">
        <f>7.162-3.2001</f>
        <v>3.9619</v>
      </c>
      <c r="L68" s="9">
        <v>0</v>
      </c>
      <c r="O68" s="9"/>
      <c r="P68" s="9"/>
    </row>
    <row r="69" spans="1:16" x14ac:dyDescent="0.25">
      <c r="A69" s="1">
        <v>43326</v>
      </c>
      <c r="B69" s="2">
        <v>1</v>
      </c>
      <c r="C69" s="2"/>
      <c r="D69" t="s">
        <v>58</v>
      </c>
      <c r="E69">
        <v>4</v>
      </c>
      <c r="F69" t="s">
        <v>7</v>
      </c>
      <c r="G69" s="6">
        <v>0.505</v>
      </c>
      <c r="H69" s="6">
        <v>180</v>
      </c>
      <c r="K69" s="10">
        <f>6.8855-3.214</f>
        <v>3.6715000000000004</v>
      </c>
      <c r="L69" s="9">
        <v>2.8000000000000001E-2</v>
      </c>
      <c r="O69" s="9"/>
      <c r="P69" s="9"/>
    </row>
    <row r="70" spans="1:16" x14ac:dyDescent="0.25">
      <c r="A70" s="1">
        <v>43326</v>
      </c>
      <c r="B70" s="2">
        <v>2</v>
      </c>
      <c r="C70" s="2"/>
      <c r="D70" t="s">
        <v>58</v>
      </c>
      <c r="E70">
        <v>4</v>
      </c>
      <c r="F70" t="s">
        <v>7</v>
      </c>
      <c r="G70" s="6">
        <v>0.505</v>
      </c>
      <c r="H70" s="6">
        <v>180</v>
      </c>
      <c r="K70" s="10">
        <f>6.9765-3.2169</f>
        <v>3.7595999999999998</v>
      </c>
      <c r="L70" s="9">
        <v>3.6999999999999998E-2</v>
      </c>
      <c r="O70" s="9"/>
      <c r="P70" s="9"/>
    </row>
    <row r="71" spans="1:16" x14ac:dyDescent="0.25">
      <c r="A71" s="1">
        <v>43326</v>
      </c>
      <c r="B71" s="2">
        <v>3</v>
      </c>
      <c r="C71" s="2"/>
      <c r="D71" t="s">
        <v>58</v>
      </c>
      <c r="E71">
        <v>4</v>
      </c>
      <c r="F71" t="s">
        <v>7</v>
      </c>
      <c r="G71" s="6">
        <v>0.505</v>
      </c>
      <c r="H71" s="6">
        <v>180</v>
      </c>
      <c r="K71" s="10">
        <f>7.0388-3.2793</f>
        <v>3.7595000000000001</v>
      </c>
      <c r="L71" s="9">
        <v>1.6E-2</v>
      </c>
      <c r="O71" s="9"/>
      <c r="P71" s="9"/>
    </row>
    <row r="72" spans="1:16" x14ac:dyDescent="0.25">
      <c r="A72" s="1">
        <v>43326</v>
      </c>
      <c r="B72" s="2">
        <v>4</v>
      </c>
      <c r="C72" s="2"/>
      <c r="D72" t="s">
        <v>58</v>
      </c>
      <c r="E72">
        <v>4</v>
      </c>
      <c r="F72" t="s">
        <v>7</v>
      </c>
      <c r="G72" s="6">
        <v>0.438</v>
      </c>
      <c r="H72" s="6">
        <v>180</v>
      </c>
      <c r="K72" s="10">
        <f>7.2754-3.2405</f>
        <v>4.0349000000000004</v>
      </c>
      <c r="L72" s="9">
        <v>0</v>
      </c>
      <c r="O72" s="9"/>
      <c r="P72" s="9"/>
    </row>
    <row r="73" spans="1:16" x14ac:dyDescent="0.25">
      <c r="A73" s="1">
        <v>43326</v>
      </c>
      <c r="B73" s="2">
        <v>5</v>
      </c>
      <c r="C73" s="2"/>
      <c r="D73" t="s">
        <v>58</v>
      </c>
      <c r="E73">
        <v>4</v>
      </c>
      <c r="F73" t="s">
        <v>7</v>
      </c>
      <c r="G73" s="6">
        <v>0.56999999999999995</v>
      </c>
      <c r="H73" s="6">
        <v>180</v>
      </c>
      <c r="K73" s="10">
        <f>6.966-3.2133</f>
        <v>3.7527000000000004</v>
      </c>
      <c r="L73" s="9">
        <f>0.6/4.88</f>
        <v>0.12295081967213115</v>
      </c>
      <c r="O73" s="9"/>
      <c r="P73" s="9"/>
    </row>
    <row r="74" spans="1:16" x14ac:dyDescent="0.25">
      <c r="A74" s="1">
        <v>43326</v>
      </c>
      <c r="B74" s="2">
        <v>6</v>
      </c>
      <c r="C74" s="2"/>
      <c r="D74" t="s">
        <v>58</v>
      </c>
      <c r="E74">
        <v>4</v>
      </c>
      <c r="F74" t="s">
        <v>7</v>
      </c>
      <c r="G74" s="6">
        <v>0.56499999999999995</v>
      </c>
      <c r="H74" s="6">
        <v>180</v>
      </c>
      <c r="K74" s="10">
        <f>7.1271-3.2539</f>
        <v>3.8732000000000006</v>
      </c>
      <c r="O74" s="9"/>
      <c r="P74" s="9"/>
    </row>
    <row r="75" spans="1:16" x14ac:dyDescent="0.25">
      <c r="A75" s="1">
        <v>43326</v>
      </c>
      <c r="B75" s="2">
        <v>7</v>
      </c>
      <c r="C75" s="2"/>
      <c r="D75" t="s">
        <v>58</v>
      </c>
      <c r="E75">
        <v>4</v>
      </c>
      <c r="F75" t="s">
        <v>7</v>
      </c>
      <c r="G75" s="6">
        <v>0.42</v>
      </c>
      <c r="H75" s="6">
        <v>180</v>
      </c>
      <c r="K75" s="10">
        <f>7.1299-3.1727</f>
        <v>3.9572000000000003</v>
      </c>
      <c r="L75" s="9">
        <v>0</v>
      </c>
      <c r="O75" s="9"/>
      <c r="P75" s="9"/>
    </row>
    <row r="76" spans="1:16" x14ac:dyDescent="0.25">
      <c r="A76" s="1">
        <v>43328</v>
      </c>
      <c r="B76" s="2">
        <v>1</v>
      </c>
      <c r="C76" s="2"/>
      <c r="D76" t="s">
        <v>53</v>
      </c>
      <c r="E76">
        <v>3</v>
      </c>
      <c r="F76" t="s">
        <v>7</v>
      </c>
      <c r="G76" s="6">
        <v>0.55000000000000004</v>
      </c>
      <c r="H76" s="6">
        <v>180</v>
      </c>
      <c r="K76" s="10">
        <f>6.8743-3.2022</f>
        <v>3.6720999999999999</v>
      </c>
      <c r="L76" s="9">
        <v>0.155</v>
      </c>
      <c r="O76" s="9"/>
      <c r="P76" s="9"/>
    </row>
    <row r="77" spans="1:16" x14ac:dyDescent="0.25">
      <c r="A77" s="1">
        <v>43328</v>
      </c>
      <c r="B77" s="2">
        <v>4</v>
      </c>
      <c r="C77" s="2"/>
      <c r="D77" t="s">
        <v>54</v>
      </c>
      <c r="E77">
        <v>5</v>
      </c>
      <c r="F77" t="s">
        <v>7</v>
      </c>
      <c r="G77" s="6">
        <v>0.65200000000000002</v>
      </c>
      <c r="H77" s="6">
        <v>180</v>
      </c>
      <c r="K77" s="10">
        <f>7.4326-3.2338</f>
        <v>4.1988000000000003</v>
      </c>
      <c r="L77" s="9">
        <v>0.19500000000000001</v>
      </c>
      <c r="O77" s="9"/>
      <c r="P77" s="9"/>
    </row>
    <row r="78" spans="1:16" x14ac:dyDescent="0.25">
      <c r="A78" s="1">
        <v>43328</v>
      </c>
      <c r="B78" s="2">
        <v>5</v>
      </c>
      <c r="C78" s="2"/>
      <c r="D78" t="s">
        <v>54</v>
      </c>
      <c r="E78">
        <v>5</v>
      </c>
      <c r="F78" t="s">
        <v>7</v>
      </c>
      <c r="G78" s="6">
        <v>0.63</v>
      </c>
      <c r="H78" s="6">
        <v>180</v>
      </c>
      <c r="K78" s="10">
        <f>7.2638-3.2347</f>
        <v>4.0290999999999997</v>
      </c>
      <c r="L78" s="9">
        <v>0.15</v>
      </c>
      <c r="O78" s="9"/>
      <c r="P78" s="9"/>
    </row>
    <row r="79" spans="1:16" x14ac:dyDescent="0.25">
      <c r="A79" s="1">
        <v>43328</v>
      </c>
      <c r="B79" s="2">
        <v>1</v>
      </c>
      <c r="C79" s="2"/>
      <c r="D79" t="s">
        <v>54</v>
      </c>
      <c r="E79">
        <v>5</v>
      </c>
      <c r="F79" t="s">
        <v>7</v>
      </c>
      <c r="G79" s="6">
        <v>0.46</v>
      </c>
      <c r="H79" s="6">
        <v>180</v>
      </c>
      <c r="K79" s="10">
        <f>6.9352-3.1927</f>
        <v>3.7425000000000002</v>
      </c>
      <c r="L79" s="9">
        <v>0</v>
      </c>
      <c r="O79" s="9"/>
      <c r="P79" s="9"/>
    </row>
    <row r="80" spans="1:16" x14ac:dyDescent="0.25">
      <c r="A80" s="1">
        <v>43328</v>
      </c>
      <c r="B80" s="2">
        <v>2</v>
      </c>
      <c r="C80" s="2"/>
      <c r="D80" t="s">
        <v>53</v>
      </c>
      <c r="E80">
        <v>3</v>
      </c>
      <c r="F80" t="s">
        <v>7</v>
      </c>
      <c r="G80" s="6">
        <v>0.46</v>
      </c>
      <c r="H80" s="6">
        <v>180</v>
      </c>
      <c r="K80" s="10">
        <f>6.6228-3.1679</f>
        <v>3.4548999999999999</v>
      </c>
      <c r="L80" s="9">
        <v>0.01</v>
      </c>
      <c r="O80" s="9"/>
      <c r="P80" s="9"/>
    </row>
    <row r="81" spans="1:17" x14ac:dyDescent="0.25">
      <c r="A81" s="1">
        <v>43328</v>
      </c>
      <c r="B81" s="2">
        <v>3</v>
      </c>
      <c r="C81" s="2"/>
      <c r="D81" t="s">
        <v>53</v>
      </c>
      <c r="E81">
        <v>3</v>
      </c>
      <c r="F81" t="s">
        <v>7</v>
      </c>
      <c r="G81" s="6">
        <v>0.46</v>
      </c>
      <c r="H81" s="6">
        <v>180</v>
      </c>
      <c r="K81" s="10">
        <f>6.72-3.2171</f>
        <v>3.5028999999999999</v>
      </c>
      <c r="L81" s="9">
        <v>1.7999999999999999E-2</v>
      </c>
      <c r="O81" s="9"/>
      <c r="P81" s="9"/>
    </row>
    <row r="82" spans="1:17" x14ac:dyDescent="0.25">
      <c r="A82" s="1">
        <v>43328</v>
      </c>
      <c r="B82" s="2">
        <v>4</v>
      </c>
      <c r="C82" s="2"/>
      <c r="D82" t="s">
        <v>53</v>
      </c>
      <c r="E82">
        <v>3</v>
      </c>
      <c r="F82" t="s">
        <v>7</v>
      </c>
      <c r="G82" s="6">
        <v>0.47299999999999998</v>
      </c>
      <c r="H82" s="6">
        <v>180</v>
      </c>
      <c r="K82" s="10">
        <f>6.7583-3.2045</f>
        <v>3.5538000000000003</v>
      </c>
      <c r="L82" s="9">
        <v>0.04</v>
      </c>
      <c r="O82" s="9"/>
      <c r="P82" s="9"/>
    </row>
    <row r="83" spans="1:17" x14ac:dyDescent="0.25">
      <c r="A83" s="1">
        <v>43328</v>
      </c>
      <c r="B83" s="2">
        <v>5</v>
      </c>
      <c r="C83" s="2"/>
      <c r="D83" t="s">
        <v>53</v>
      </c>
      <c r="E83">
        <v>3</v>
      </c>
      <c r="F83" t="s">
        <v>7</v>
      </c>
      <c r="G83" s="6">
        <v>0.52200000000000002</v>
      </c>
      <c r="H83" s="6">
        <v>180</v>
      </c>
      <c r="K83" s="10">
        <f>6.7583-3.2045</f>
        <v>3.5538000000000003</v>
      </c>
      <c r="L83" s="9">
        <v>0.105</v>
      </c>
      <c r="O83" s="9"/>
      <c r="P83" s="9"/>
    </row>
    <row r="84" spans="1:17" x14ac:dyDescent="0.25">
      <c r="A84" s="1">
        <v>43328</v>
      </c>
      <c r="B84" s="2">
        <v>6</v>
      </c>
      <c r="C84" s="2"/>
      <c r="D84" t="s">
        <v>53</v>
      </c>
      <c r="E84">
        <v>3</v>
      </c>
      <c r="F84" t="s">
        <v>7</v>
      </c>
      <c r="G84" s="6">
        <v>0.52500000000000002</v>
      </c>
      <c r="H84" s="6">
        <v>180</v>
      </c>
      <c r="K84" s="10">
        <f>6.7735-3.2398</f>
        <v>3.5337000000000005</v>
      </c>
      <c r="L84" s="9">
        <v>9.2999999999999999E-2</v>
      </c>
      <c r="O84" s="9"/>
      <c r="P84" s="9"/>
    </row>
    <row r="85" spans="1:17" x14ac:dyDescent="0.25">
      <c r="A85" s="1">
        <v>43328</v>
      </c>
      <c r="B85" s="2">
        <v>7</v>
      </c>
      <c r="C85" s="2"/>
      <c r="D85" t="s">
        <v>53</v>
      </c>
      <c r="E85">
        <v>3</v>
      </c>
      <c r="F85" t="s">
        <v>7</v>
      </c>
      <c r="H85" s="6">
        <v>180</v>
      </c>
      <c r="K85" s="10">
        <f>6.6453-3.2009</f>
        <v>3.4443999999999999</v>
      </c>
      <c r="L85" s="9">
        <v>0.23</v>
      </c>
      <c r="O85" s="9"/>
      <c r="P85" s="9"/>
    </row>
    <row r="86" spans="1:17" x14ac:dyDescent="0.25">
      <c r="A86" s="1">
        <v>43333</v>
      </c>
      <c r="B86" s="2">
        <v>1</v>
      </c>
      <c r="C86" s="2"/>
      <c r="D86" t="s">
        <v>54</v>
      </c>
      <c r="E86">
        <v>5</v>
      </c>
      <c r="F86" t="s">
        <v>7</v>
      </c>
      <c r="G86" s="6">
        <v>0.502</v>
      </c>
      <c r="H86" s="6">
        <v>180</v>
      </c>
      <c r="K86" s="10">
        <v>3.8309000000000002</v>
      </c>
      <c r="L86" s="9">
        <v>1E-3</v>
      </c>
      <c r="O86" s="10">
        <v>4.8050000000000068</v>
      </c>
      <c r="P86" s="10">
        <v>0.19230000000000302</v>
      </c>
      <c r="Q86" s="10">
        <f>O86-P86</f>
        <v>4.6127000000000038</v>
      </c>
    </row>
    <row r="87" spans="1:17" x14ac:dyDescent="0.25">
      <c r="A87" s="1">
        <v>43333</v>
      </c>
      <c r="B87" s="2">
        <v>2</v>
      </c>
      <c r="C87" s="2"/>
      <c r="D87" t="s">
        <v>54</v>
      </c>
      <c r="E87">
        <v>5</v>
      </c>
      <c r="F87" t="s">
        <v>7</v>
      </c>
      <c r="G87" s="6">
        <v>0.55400000000000005</v>
      </c>
      <c r="H87" s="6">
        <v>180</v>
      </c>
      <c r="K87" s="10">
        <v>3.9666000000000001</v>
      </c>
      <c r="L87" s="9">
        <v>7.1999999999999995E-2</v>
      </c>
      <c r="O87" s="10">
        <v>4.9771000000000072</v>
      </c>
      <c r="P87" s="10">
        <v>0.39730000000000132</v>
      </c>
      <c r="Q87" s="10">
        <f t="shared" ref="Q87:Q104" si="2">O87-P87</f>
        <v>4.5798000000000059</v>
      </c>
    </row>
    <row r="88" spans="1:17" x14ac:dyDescent="0.25">
      <c r="A88" s="1">
        <v>43333</v>
      </c>
      <c r="B88" s="2">
        <v>3</v>
      </c>
      <c r="C88" s="2"/>
      <c r="D88" t="s">
        <v>54</v>
      </c>
      <c r="E88">
        <v>5</v>
      </c>
      <c r="F88" t="s">
        <v>7</v>
      </c>
      <c r="G88" s="6">
        <v>0.56999999999999995</v>
      </c>
      <c r="H88" s="6">
        <v>180</v>
      </c>
      <c r="K88" s="10">
        <v>4.1524000000000001</v>
      </c>
      <c r="L88" s="9">
        <v>9.1999999999999998E-2</v>
      </c>
      <c r="O88" s="10">
        <v>4.9440000000000026</v>
      </c>
      <c r="P88" s="10">
        <v>0.27400000000000091</v>
      </c>
      <c r="Q88" s="10">
        <f t="shared" si="2"/>
        <v>4.6700000000000017</v>
      </c>
    </row>
    <row r="89" spans="1:17" x14ac:dyDescent="0.25">
      <c r="A89" s="1">
        <v>43333</v>
      </c>
      <c r="B89" s="2">
        <v>4</v>
      </c>
      <c r="C89" s="2"/>
      <c r="D89" t="s">
        <v>54</v>
      </c>
      <c r="E89">
        <v>5</v>
      </c>
      <c r="F89" t="s">
        <v>7</v>
      </c>
      <c r="G89" s="6">
        <v>0.60099999999999998</v>
      </c>
      <c r="H89" s="6">
        <v>180</v>
      </c>
      <c r="K89" s="10">
        <v>4.2434000000000003</v>
      </c>
      <c r="L89" s="9">
        <v>0.13300000000000001</v>
      </c>
      <c r="O89" s="10">
        <v>4.8910000000000053</v>
      </c>
      <c r="P89" s="10">
        <v>0.18160000000000309</v>
      </c>
      <c r="Q89" s="10">
        <f t="shared" si="2"/>
        <v>4.7094000000000023</v>
      </c>
    </row>
    <row r="90" spans="1:17" x14ac:dyDescent="0.25">
      <c r="A90" s="1">
        <v>43333</v>
      </c>
      <c r="B90" s="2">
        <v>5</v>
      </c>
      <c r="C90" s="2"/>
      <c r="D90" t="s">
        <v>54</v>
      </c>
      <c r="E90">
        <v>5</v>
      </c>
      <c r="F90" t="s">
        <v>7</v>
      </c>
      <c r="G90" s="6">
        <v>0.60799999999999998</v>
      </c>
      <c r="H90" s="6">
        <v>180</v>
      </c>
      <c r="K90" s="10">
        <v>4.1429999999999998</v>
      </c>
      <c r="L90" s="9">
        <v>0.14099999999999999</v>
      </c>
      <c r="O90" s="10">
        <v>4.9699999999999989</v>
      </c>
      <c r="P90" s="10">
        <v>0.33789999999999054</v>
      </c>
      <c r="Q90" s="10">
        <f t="shared" si="2"/>
        <v>4.6321000000000083</v>
      </c>
    </row>
    <row r="91" spans="1:17" x14ac:dyDescent="0.25">
      <c r="A91" s="1">
        <v>43333</v>
      </c>
      <c r="B91" s="2">
        <v>6</v>
      </c>
      <c r="C91" s="2"/>
      <c r="D91" t="s">
        <v>54</v>
      </c>
      <c r="E91">
        <v>5</v>
      </c>
      <c r="F91" t="s">
        <v>7</v>
      </c>
      <c r="G91" s="6">
        <v>0.52400000000000002</v>
      </c>
      <c r="H91" s="6">
        <v>180</v>
      </c>
      <c r="K91" s="10">
        <v>4.2027999999999999</v>
      </c>
      <c r="L91" s="9">
        <v>2.5999999999999999E-2</v>
      </c>
      <c r="O91" s="10">
        <v>4.9440000000000026</v>
      </c>
      <c r="Q91" s="10"/>
    </row>
    <row r="92" spans="1:17" x14ac:dyDescent="0.25">
      <c r="A92" s="1">
        <v>43334</v>
      </c>
      <c r="B92" s="2">
        <v>1</v>
      </c>
      <c r="C92" s="2"/>
      <c r="D92" t="s">
        <v>58</v>
      </c>
      <c r="E92">
        <v>4</v>
      </c>
      <c r="F92" t="s">
        <v>7</v>
      </c>
      <c r="G92" s="6">
        <v>0.48</v>
      </c>
      <c r="H92" s="6">
        <v>30</v>
      </c>
      <c r="K92" s="10">
        <v>3.6593</v>
      </c>
      <c r="L92" s="9">
        <v>0</v>
      </c>
      <c r="Q92" s="10"/>
    </row>
    <row r="93" spans="1:17" x14ac:dyDescent="0.25">
      <c r="A93" s="1">
        <v>43334</v>
      </c>
      <c r="B93" s="2">
        <v>2</v>
      </c>
      <c r="C93" s="2"/>
      <c r="D93" t="s">
        <v>58</v>
      </c>
      <c r="E93">
        <v>4</v>
      </c>
      <c r="F93" t="s">
        <v>7</v>
      </c>
      <c r="G93" s="6">
        <v>0.48</v>
      </c>
      <c r="H93" s="6">
        <v>30</v>
      </c>
      <c r="K93" s="10">
        <v>3.5756999999999999</v>
      </c>
      <c r="L93" s="9">
        <v>1E-3</v>
      </c>
      <c r="O93" s="10">
        <v>5.0288000000000039</v>
      </c>
      <c r="P93" s="10">
        <v>0.56930000000001257</v>
      </c>
      <c r="Q93" s="10">
        <f t="shared" si="2"/>
        <v>4.4594999999999914</v>
      </c>
    </row>
    <row r="94" spans="1:17" x14ac:dyDescent="0.25">
      <c r="A94" s="1">
        <v>43334</v>
      </c>
      <c r="B94" s="2">
        <v>3</v>
      </c>
      <c r="C94" s="2"/>
      <c r="D94" t="s">
        <v>58</v>
      </c>
      <c r="E94">
        <v>4</v>
      </c>
      <c r="F94" t="s">
        <v>7</v>
      </c>
      <c r="G94" s="6">
        <v>0.48</v>
      </c>
      <c r="H94" s="6">
        <v>0</v>
      </c>
      <c r="K94" s="10">
        <v>3.7069999999999999</v>
      </c>
      <c r="L94" s="9">
        <v>1E-3</v>
      </c>
      <c r="O94" s="10">
        <v>4.8084999999999951</v>
      </c>
      <c r="P94" s="10">
        <v>0.42539999999999623</v>
      </c>
      <c r="Q94" s="10">
        <f t="shared" si="2"/>
        <v>4.3830999999999989</v>
      </c>
    </row>
    <row r="95" spans="1:17" x14ac:dyDescent="0.25">
      <c r="A95" s="1">
        <v>43334</v>
      </c>
      <c r="B95" s="2">
        <v>4</v>
      </c>
      <c r="C95" s="2"/>
      <c r="D95" t="s">
        <v>58</v>
      </c>
      <c r="E95">
        <v>4</v>
      </c>
      <c r="F95" t="s">
        <v>7</v>
      </c>
      <c r="G95" s="6">
        <v>0.48</v>
      </c>
      <c r="H95" s="6">
        <v>60</v>
      </c>
      <c r="K95" s="10">
        <v>3.8822000000000001</v>
      </c>
      <c r="L95" s="9">
        <v>0.01</v>
      </c>
      <c r="O95" s="10">
        <v>4.7087999999999965</v>
      </c>
      <c r="P95" s="10">
        <v>0.30830000000000268</v>
      </c>
      <c r="Q95" s="10">
        <f t="shared" si="2"/>
        <v>4.4004999999999939</v>
      </c>
    </row>
    <row r="96" spans="1:17" x14ac:dyDescent="0.25">
      <c r="A96" s="1">
        <v>43334</v>
      </c>
      <c r="B96" s="2">
        <v>5</v>
      </c>
      <c r="C96" s="2"/>
      <c r="D96" t="s">
        <v>58</v>
      </c>
      <c r="E96">
        <v>4</v>
      </c>
      <c r="F96" t="s">
        <v>7</v>
      </c>
      <c r="G96" s="6">
        <v>0.48</v>
      </c>
      <c r="H96" s="6">
        <v>60</v>
      </c>
      <c r="K96" s="10">
        <v>3.8551000000000002</v>
      </c>
      <c r="L96" s="9">
        <v>3.0000000000000001E-3</v>
      </c>
      <c r="O96" s="10">
        <v>4.7257000000000033</v>
      </c>
      <c r="P96" s="10">
        <v>0.36320000000000618</v>
      </c>
      <c r="Q96" s="10">
        <f t="shared" si="2"/>
        <v>4.3624999999999972</v>
      </c>
    </row>
    <row r="97" spans="1:19" x14ac:dyDescent="0.25">
      <c r="A97" s="1">
        <v>43334</v>
      </c>
      <c r="B97" s="2">
        <v>6</v>
      </c>
      <c r="C97" s="2"/>
      <c r="D97" t="s">
        <v>58</v>
      </c>
      <c r="E97">
        <v>4</v>
      </c>
      <c r="F97" t="s">
        <v>7</v>
      </c>
      <c r="G97" s="6">
        <v>0.48</v>
      </c>
      <c r="H97" s="6">
        <v>0</v>
      </c>
      <c r="K97" s="10">
        <v>3.8403999999999998</v>
      </c>
      <c r="L97" s="9">
        <v>1E-3</v>
      </c>
      <c r="O97" s="10">
        <v>4.730400000000003</v>
      </c>
      <c r="P97" s="10">
        <v>0.42330000000001178</v>
      </c>
      <c r="Q97" s="10">
        <f t="shared" si="2"/>
        <v>4.3070999999999913</v>
      </c>
    </row>
    <row r="98" spans="1:19" x14ac:dyDescent="0.25">
      <c r="A98" s="1">
        <v>43340</v>
      </c>
      <c r="B98" s="2">
        <v>1</v>
      </c>
      <c r="C98" s="2"/>
      <c r="D98" t="s">
        <v>58</v>
      </c>
      <c r="E98">
        <v>4</v>
      </c>
      <c r="F98" t="s">
        <v>7</v>
      </c>
      <c r="G98" s="6">
        <v>0.55000000000000004</v>
      </c>
      <c r="H98" s="6">
        <v>30</v>
      </c>
      <c r="K98" s="10">
        <v>3.3854000000000002</v>
      </c>
      <c r="L98" s="9">
        <v>7.0000000000000007E-2</v>
      </c>
      <c r="N98" s="9">
        <v>0.84</v>
      </c>
      <c r="O98" s="10">
        <v>4.7156999999999982</v>
      </c>
      <c r="P98" s="10">
        <v>0.28279999999999461</v>
      </c>
      <c r="Q98" s="10">
        <f t="shared" si="2"/>
        <v>4.4329000000000036</v>
      </c>
    </row>
    <row r="99" spans="1:19" x14ac:dyDescent="0.25">
      <c r="A99" s="1">
        <v>43340</v>
      </c>
      <c r="B99" s="2">
        <v>2</v>
      </c>
      <c r="C99" s="2"/>
      <c r="D99" t="s">
        <v>58</v>
      </c>
      <c r="E99">
        <v>4</v>
      </c>
      <c r="F99" t="s">
        <v>7</v>
      </c>
      <c r="G99" s="6">
        <v>0.55000000000000004</v>
      </c>
      <c r="H99" s="6">
        <v>60</v>
      </c>
      <c r="K99" s="10">
        <v>3.7955999999999999</v>
      </c>
      <c r="L99" s="9">
        <v>8.3000000000000004E-2</v>
      </c>
      <c r="N99" s="9">
        <v>0.86</v>
      </c>
      <c r="O99" s="10">
        <v>4.816900000000004</v>
      </c>
      <c r="P99" s="10">
        <v>0.42970000000001107</v>
      </c>
      <c r="Q99" s="10">
        <f t="shared" si="2"/>
        <v>4.3871999999999929</v>
      </c>
    </row>
    <row r="100" spans="1:19" x14ac:dyDescent="0.25">
      <c r="A100" s="1">
        <v>43340</v>
      </c>
      <c r="B100" s="2">
        <v>3</v>
      </c>
      <c r="C100" s="2"/>
      <c r="D100" t="s">
        <v>58</v>
      </c>
      <c r="E100">
        <v>4</v>
      </c>
      <c r="F100" t="s">
        <v>7</v>
      </c>
      <c r="G100" s="6">
        <v>0.55000000000000004</v>
      </c>
      <c r="H100" s="6">
        <v>30</v>
      </c>
      <c r="K100" s="10">
        <v>3.7587999999999999</v>
      </c>
      <c r="L100" s="9">
        <v>9.5000000000000001E-2</v>
      </c>
      <c r="N100" s="9">
        <v>0.83599999999999997</v>
      </c>
      <c r="O100" s="10">
        <v>4.7870999999999952</v>
      </c>
      <c r="P100" s="10">
        <v>0.34669999999999845</v>
      </c>
      <c r="Q100" s="10">
        <f t="shared" si="2"/>
        <v>4.4403999999999968</v>
      </c>
    </row>
    <row r="101" spans="1:19" x14ac:dyDescent="0.25">
      <c r="A101" s="1">
        <v>43340</v>
      </c>
      <c r="B101" s="2">
        <v>4</v>
      </c>
      <c r="C101" s="2"/>
      <c r="D101" t="s">
        <v>58</v>
      </c>
      <c r="E101">
        <v>4</v>
      </c>
      <c r="F101" t="s">
        <v>7</v>
      </c>
      <c r="G101" s="6">
        <v>0.55000000000000004</v>
      </c>
      <c r="H101" s="6">
        <v>0</v>
      </c>
      <c r="K101" s="10">
        <v>3.9171</v>
      </c>
      <c r="L101" s="9">
        <v>9.5000000000000001E-2</v>
      </c>
      <c r="N101" s="9">
        <v>0.88</v>
      </c>
      <c r="Q101" s="10">
        <v>4.4030999999999949</v>
      </c>
      <c r="S101" s="10"/>
    </row>
    <row r="102" spans="1:19" x14ac:dyDescent="0.25">
      <c r="A102" s="1">
        <v>43340</v>
      </c>
      <c r="B102" s="2">
        <v>5</v>
      </c>
      <c r="C102" s="2"/>
      <c r="D102" t="s">
        <v>58</v>
      </c>
      <c r="E102">
        <v>4</v>
      </c>
      <c r="F102" t="s">
        <v>7</v>
      </c>
      <c r="G102" s="6">
        <v>0.55000000000000004</v>
      </c>
      <c r="H102" s="6">
        <v>60</v>
      </c>
      <c r="K102" s="10">
        <v>3.9285999999999999</v>
      </c>
      <c r="L102" s="9">
        <v>9.5000000000000001E-2</v>
      </c>
      <c r="O102" s="10">
        <v>4.7680000000000007</v>
      </c>
      <c r="P102" s="10">
        <v>0.32210000000000605</v>
      </c>
      <c r="Q102" s="10">
        <f t="shared" si="2"/>
        <v>4.4458999999999946</v>
      </c>
    </row>
    <row r="103" spans="1:19" x14ac:dyDescent="0.25">
      <c r="A103" s="1">
        <v>43340</v>
      </c>
      <c r="B103" s="2">
        <v>6</v>
      </c>
      <c r="C103" s="2"/>
      <c r="D103" t="s">
        <v>58</v>
      </c>
      <c r="E103">
        <v>4</v>
      </c>
      <c r="F103" t="s">
        <v>7</v>
      </c>
      <c r="G103" s="6">
        <v>0.55000000000000004</v>
      </c>
      <c r="H103" s="6">
        <v>0</v>
      </c>
      <c r="K103" s="10">
        <v>3.7869000000000002</v>
      </c>
      <c r="L103" s="9">
        <v>7.4999999999999997E-2</v>
      </c>
      <c r="O103" s="10">
        <v>4.9052999999999969</v>
      </c>
      <c r="P103" s="10">
        <v>0.41339999999999577</v>
      </c>
      <c r="Q103" s="10">
        <f t="shared" si="2"/>
        <v>4.4919000000000011</v>
      </c>
    </row>
    <row r="104" spans="1:19" x14ac:dyDescent="0.25">
      <c r="A104" s="1">
        <v>43340</v>
      </c>
      <c r="B104" s="2">
        <v>7</v>
      </c>
      <c r="C104" s="2"/>
      <c r="D104" t="s">
        <v>58</v>
      </c>
      <c r="E104">
        <v>4</v>
      </c>
      <c r="F104" t="s">
        <v>7</v>
      </c>
      <c r="G104" s="6">
        <v>0.55000000000000004</v>
      </c>
      <c r="H104" s="6">
        <v>0</v>
      </c>
      <c r="K104" s="10">
        <v>3.7909000000000002</v>
      </c>
      <c r="L104" s="9">
        <v>8.5000000000000006E-2</v>
      </c>
      <c r="N104" s="9">
        <v>0.873</v>
      </c>
      <c r="O104" s="10">
        <v>4.9136000000000024</v>
      </c>
      <c r="P104" s="10">
        <v>0.44519999999999982</v>
      </c>
      <c r="Q104" s="10">
        <f t="shared" si="2"/>
        <v>4.4684000000000026</v>
      </c>
    </row>
    <row r="105" spans="1:19" x14ac:dyDescent="0.25">
      <c r="A105" s="1">
        <v>43342</v>
      </c>
      <c r="B105" s="2">
        <v>1</v>
      </c>
      <c r="C105" s="2"/>
      <c r="D105" t="s">
        <v>52</v>
      </c>
      <c r="E105">
        <v>4</v>
      </c>
      <c r="F105" t="s">
        <v>7</v>
      </c>
      <c r="G105" s="6">
        <v>0.435</v>
      </c>
      <c r="H105" s="6">
        <v>180</v>
      </c>
      <c r="K105" s="10">
        <v>3.6320000000000001</v>
      </c>
      <c r="L105" s="9">
        <v>0</v>
      </c>
      <c r="N105" s="9">
        <v>0.80500000000000005</v>
      </c>
    </row>
    <row r="106" spans="1:19" x14ac:dyDescent="0.25">
      <c r="A106" s="1">
        <v>43342</v>
      </c>
      <c r="B106" s="2">
        <v>2</v>
      </c>
      <c r="C106" s="2"/>
      <c r="D106" t="s">
        <v>52</v>
      </c>
      <c r="E106">
        <v>4</v>
      </c>
      <c r="F106" t="s">
        <v>7</v>
      </c>
      <c r="G106" s="6">
        <v>0.46</v>
      </c>
      <c r="H106" s="6">
        <v>180</v>
      </c>
      <c r="K106" s="10">
        <v>3.7984</v>
      </c>
      <c r="L106" s="9">
        <v>1E-3</v>
      </c>
      <c r="N106" s="9">
        <v>0.88500000000000001</v>
      </c>
    </row>
    <row r="107" spans="1:19" x14ac:dyDescent="0.25">
      <c r="A107" s="1">
        <v>43342</v>
      </c>
      <c r="B107" s="2">
        <v>3</v>
      </c>
      <c r="C107" s="2"/>
      <c r="D107" t="s">
        <v>52</v>
      </c>
      <c r="E107">
        <v>4</v>
      </c>
      <c r="F107" t="s">
        <v>7</v>
      </c>
      <c r="G107" s="6">
        <v>0.51500000000000001</v>
      </c>
      <c r="H107" s="6">
        <v>180</v>
      </c>
      <c r="K107" s="10">
        <v>3.8496999999999999</v>
      </c>
      <c r="L107" s="9">
        <v>0.04</v>
      </c>
      <c r="N107" s="9">
        <v>0.84</v>
      </c>
    </row>
    <row r="108" spans="1:19" x14ac:dyDescent="0.25">
      <c r="A108" s="1">
        <v>43342</v>
      </c>
      <c r="B108" s="2">
        <v>4</v>
      </c>
      <c r="C108" s="2"/>
      <c r="D108" t="s">
        <v>52</v>
      </c>
      <c r="E108">
        <v>4</v>
      </c>
      <c r="F108" t="s">
        <v>7</v>
      </c>
      <c r="G108" s="6">
        <v>0.51</v>
      </c>
      <c r="H108" s="6">
        <v>180</v>
      </c>
      <c r="K108" s="10">
        <v>3.8971</v>
      </c>
      <c r="L108" s="9">
        <v>0.03</v>
      </c>
      <c r="N108" s="9">
        <v>0.82</v>
      </c>
    </row>
    <row r="109" spans="1:19" x14ac:dyDescent="0.25">
      <c r="A109" s="1">
        <v>43342</v>
      </c>
      <c r="B109" s="2">
        <v>5</v>
      </c>
      <c r="C109" s="2"/>
      <c r="D109" t="s">
        <v>52</v>
      </c>
      <c r="E109">
        <v>4</v>
      </c>
      <c r="F109" t="s">
        <v>7</v>
      </c>
      <c r="G109" s="6">
        <v>0.56499999999999995</v>
      </c>
      <c r="H109" s="6">
        <v>180</v>
      </c>
      <c r="K109" s="10">
        <v>3.7071999999999998</v>
      </c>
      <c r="L109" s="9">
        <v>0.08</v>
      </c>
      <c r="N109" s="9">
        <v>0.86499999999999999</v>
      </c>
    </row>
    <row r="110" spans="1:19" x14ac:dyDescent="0.25">
      <c r="A110" s="1">
        <v>43342</v>
      </c>
      <c r="B110" s="2">
        <v>6</v>
      </c>
      <c r="C110" s="2"/>
      <c r="D110" t="s">
        <v>52</v>
      </c>
      <c r="E110">
        <v>4</v>
      </c>
      <c r="F110" t="s">
        <v>7</v>
      </c>
      <c r="G110" s="6">
        <v>0.56499999999999995</v>
      </c>
      <c r="H110" s="6">
        <v>180</v>
      </c>
      <c r="K110" s="10">
        <v>3.7016</v>
      </c>
      <c r="L110" s="9">
        <v>0.11</v>
      </c>
      <c r="N110" s="9">
        <v>0.83</v>
      </c>
    </row>
    <row r="111" spans="1:19" x14ac:dyDescent="0.25">
      <c r="A111" s="1">
        <v>43349</v>
      </c>
      <c r="B111" s="2">
        <v>1</v>
      </c>
      <c r="C111" s="2"/>
      <c r="D111" t="s">
        <v>53</v>
      </c>
      <c r="E111">
        <v>3</v>
      </c>
      <c r="F111" t="s">
        <v>7</v>
      </c>
      <c r="G111" s="6">
        <v>0.51</v>
      </c>
      <c r="H111" s="6">
        <v>180</v>
      </c>
      <c r="K111" s="10">
        <v>3.4832000000000001</v>
      </c>
      <c r="L111" s="9">
        <v>0.1</v>
      </c>
      <c r="M111" s="9">
        <v>0.86</v>
      </c>
      <c r="N111" s="9">
        <v>0.8</v>
      </c>
    </row>
    <row r="112" spans="1:19" x14ac:dyDescent="0.25">
      <c r="A112" s="1">
        <v>43349</v>
      </c>
      <c r="B112" s="2">
        <v>2</v>
      </c>
      <c r="C112" s="2"/>
      <c r="D112" t="s">
        <v>53</v>
      </c>
      <c r="E112">
        <v>3</v>
      </c>
      <c r="F112" t="s">
        <v>7</v>
      </c>
      <c r="G112" s="6">
        <v>0.51</v>
      </c>
      <c r="H112" s="6">
        <v>180</v>
      </c>
      <c r="K112" s="10">
        <v>3.6598999999999999</v>
      </c>
      <c r="L112" s="9">
        <v>0.08</v>
      </c>
      <c r="M112" s="9">
        <v>0.86499999999999999</v>
      </c>
      <c r="N112" s="9">
        <v>0.71499999999999997</v>
      </c>
    </row>
    <row r="113" spans="1:30" x14ac:dyDescent="0.25">
      <c r="A113" s="1">
        <v>43349</v>
      </c>
      <c r="B113" s="2">
        <v>3</v>
      </c>
      <c r="C113" s="2"/>
      <c r="D113" t="s">
        <v>53</v>
      </c>
      <c r="E113">
        <v>3</v>
      </c>
      <c r="F113" t="s">
        <v>7</v>
      </c>
      <c r="G113" s="6">
        <v>0.51</v>
      </c>
      <c r="H113" s="6">
        <v>180</v>
      </c>
      <c r="K113" s="10">
        <v>3.4424999999999999</v>
      </c>
      <c r="L113" s="9">
        <v>0.09</v>
      </c>
      <c r="M113" s="9">
        <v>0.84499999999999997</v>
      </c>
      <c r="N113" s="9">
        <v>0.78</v>
      </c>
    </row>
    <row r="114" spans="1:30" x14ac:dyDescent="0.25">
      <c r="A114" s="1">
        <v>43349</v>
      </c>
      <c r="B114" s="2">
        <v>4</v>
      </c>
      <c r="C114" s="2"/>
      <c r="D114" t="s">
        <v>53</v>
      </c>
      <c r="E114">
        <v>3</v>
      </c>
      <c r="F114" t="s">
        <v>7</v>
      </c>
      <c r="G114" s="6">
        <v>0.51</v>
      </c>
      <c r="H114" s="6">
        <v>180</v>
      </c>
      <c r="K114" s="10">
        <v>3.5476000000000001</v>
      </c>
      <c r="L114" s="9">
        <v>8.3000000000000004E-2</v>
      </c>
      <c r="M114" s="13">
        <v>0.85</v>
      </c>
      <c r="N114" s="13">
        <v>0.79</v>
      </c>
    </row>
    <row r="115" spans="1:30" x14ac:dyDescent="0.25">
      <c r="A115" s="1">
        <v>43564</v>
      </c>
      <c r="B115" s="2">
        <v>1</v>
      </c>
      <c r="C115" s="2" t="s">
        <v>65</v>
      </c>
      <c r="D115" t="s">
        <v>62</v>
      </c>
      <c r="E115">
        <v>4</v>
      </c>
      <c r="F115" t="s">
        <v>49</v>
      </c>
      <c r="G115" s="6">
        <v>0.48299999999999998</v>
      </c>
      <c r="K115" s="10">
        <v>4.0110000000000001</v>
      </c>
      <c r="L115" s="9">
        <v>0.02</v>
      </c>
    </row>
    <row r="116" spans="1:30" x14ac:dyDescent="0.25">
      <c r="A116" s="1">
        <v>43564</v>
      </c>
      <c r="B116" s="2">
        <v>2</v>
      </c>
      <c r="C116" s="2" t="s">
        <v>65</v>
      </c>
      <c r="D116" t="s">
        <v>63</v>
      </c>
      <c r="E116">
        <v>4</v>
      </c>
      <c r="F116" t="s">
        <v>49</v>
      </c>
      <c r="G116" s="6">
        <v>0.48299999999999998</v>
      </c>
      <c r="K116" s="10">
        <v>3.9782000000000002</v>
      </c>
      <c r="L116" s="9">
        <v>1.4999999999999999E-2</v>
      </c>
    </row>
    <row r="117" spans="1:30" x14ac:dyDescent="0.25">
      <c r="A117" s="1">
        <v>43564</v>
      </c>
      <c r="B117" s="2">
        <v>3</v>
      </c>
      <c r="C117" s="2" t="s">
        <v>65</v>
      </c>
      <c r="D117" t="s">
        <v>62</v>
      </c>
      <c r="E117">
        <v>4</v>
      </c>
      <c r="F117" t="s">
        <v>49</v>
      </c>
      <c r="G117" s="6">
        <v>0.48299999999999998</v>
      </c>
      <c r="K117" s="10">
        <v>3.9954000000000001</v>
      </c>
      <c r="L117" s="9">
        <v>0.01</v>
      </c>
    </row>
    <row r="118" spans="1:30" x14ac:dyDescent="0.25">
      <c r="A118" s="1">
        <v>43564</v>
      </c>
      <c r="B118" s="2">
        <v>4</v>
      </c>
      <c r="C118" s="2" t="s">
        <v>65</v>
      </c>
      <c r="D118" t="s">
        <v>63</v>
      </c>
      <c r="E118">
        <v>4</v>
      </c>
      <c r="F118" t="s">
        <v>49</v>
      </c>
      <c r="G118" s="6">
        <v>0.48299999999999998</v>
      </c>
      <c r="K118" s="10">
        <v>4.0030000000000001</v>
      </c>
      <c r="L118" s="9">
        <v>0.01</v>
      </c>
    </row>
    <row r="119" spans="1:30" x14ac:dyDescent="0.25">
      <c r="A119" s="1">
        <v>43564</v>
      </c>
      <c r="B119" s="2">
        <v>5</v>
      </c>
      <c r="C119" s="2" t="s">
        <v>65</v>
      </c>
      <c r="D119" t="s">
        <v>62</v>
      </c>
      <c r="E119">
        <v>4</v>
      </c>
      <c r="F119" t="s">
        <v>49</v>
      </c>
      <c r="G119" s="6">
        <v>0.48299999999999998</v>
      </c>
      <c r="K119" s="10">
        <v>3.9878</v>
      </c>
      <c r="L119" s="9">
        <v>0.01</v>
      </c>
    </row>
    <row r="120" spans="1:30" x14ac:dyDescent="0.25">
      <c r="A120" s="1">
        <v>43564</v>
      </c>
      <c r="B120" s="2">
        <v>6</v>
      </c>
      <c r="C120" s="2" t="s">
        <v>65</v>
      </c>
      <c r="D120" t="s">
        <v>63</v>
      </c>
      <c r="E120">
        <v>4</v>
      </c>
      <c r="F120" t="s">
        <v>49</v>
      </c>
      <c r="G120" s="6">
        <v>0.48299999999999998</v>
      </c>
      <c r="K120" s="10">
        <v>3.915</v>
      </c>
      <c r="L120" s="9">
        <v>5.0000000000000001E-3</v>
      </c>
    </row>
    <row r="121" spans="1:30" x14ac:dyDescent="0.25">
      <c r="A121" s="1">
        <v>43564</v>
      </c>
      <c r="B121" s="2">
        <v>2</v>
      </c>
      <c r="C121" s="2" t="s">
        <v>66</v>
      </c>
      <c r="D121" t="s">
        <v>62</v>
      </c>
      <c r="E121">
        <v>4</v>
      </c>
      <c r="F121" t="s">
        <v>49</v>
      </c>
      <c r="G121" s="6">
        <v>0.4</v>
      </c>
      <c r="K121" s="10">
        <v>3.7787999999999999</v>
      </c>
      <c r="L121" s="9">
        <v>0</v>
      </c>
    </row>
    <row r="122" spans="1:30" x14ac:dyDescent="0.25">
      <c r="A122" s="1">
        <v>43564</v>
      </c>
      <c r="B122" s="2">
        <v>3</v>
      </c>
      <c r="C122" s="2" t="s">
        <v>66</v>
      </c>
      <c r="D122" t="s">
        <v>63</v>
      </c>
      <c r="E122">
        <v>4</v>
      </c>
      <c r="F122" t="s">
        <v>49</v>
      </c>
      <c r="G122" s="6">
        <v>0.4</v>
      </c>
      <c r="K122" s="10">
        <v>4.0202</v>
      </c>
      <c r="L122" s="9">
        <v>0</v>
      </c>
    </row>
    <row r="123" spans="1:30" x14ac:dyDescent="0.25">
      <c r="A123" s="1">
        <v>43564</v>
      </c>
      <c r="B123" s="2">
        <v>4</v>
      </c>
      <c r="C123" s="2" t="s">
        <v>66</v>
      </c>
      <c r="D123" t="s">
        <v>62</v>
      </c>
      <c r="E123">
        <v>4</v>
      </c>
      <c r="F123" t="s">
        <v>49</v>
      </c>
      <c r="G123" s="6">
        <v>0.4</v>
      </c>
      <c r="K123" s="10">
        <v>4.0479000000000003</v>
      </c>
      <c r="L123" s="9">
        <v>0</v>
      </c>
    </row>
    <row r="124" spans="1:30" x14ac:dyDescent="0.25">
      <c r="A124" s="1">
        <v>43564</v>
      </c>
      <c r="B124" s="2">
        <v>5</v>
      </c>
      <c r="C124" s="2" t="s">
        <v>66</v>
      </c>
      <c r="D124" t="s">
        <v>63</v>
      </c>
      <c r="E124">
        <v>4</v>
      </c>
      <c r="F124" t="s">
        <v>49</v>
      </c>
      <c r="G124" s="6">
        <v>0.4</v>
      </c>
      <c r="K124" s="10">
        <v>4.0848000000000004</v>
      </c>
      <c r="L124" s="9">
        <v>0</v>
      </c>
    </row>
    <row r="125" spans="1:30" s="16" customFormat="1" x14ac:dyDescent="0.25">
      <c r="A125" s="14">
        <v>43564</v>
      </c>
      <c r="B125" s="15">
        <v>6</v>
      </c>
      <c r="C125" s="15" t="s">
        <v>66</v>
      </c>
      <c r="D125" s="16" t="s">
        <v>62</v>
      </c>
      <c r="E125" s="16">
        <v>4</v>
      </c>
      <c r="F125" s="16" t="s">
        <v>49</v>
      </c>
      <c r="G125" s="17">
        <v>0.4</v>
      </c>
      <c r="H125" s="17"/>
      <c r="I125" s="17"/>
      <c r="J125" s="17"/>
      <c r="K125" s="18">
        <v>4.0335000000000001</v>
      </c>
      <c r="L125" s="13">
        <v>0</v>
      </c>
      <c r="M125" s="13"/>
      <c r="N125" s="13"/>
      <c r="O125" s="18"/>
      <c r="P125" s="18"/>
      <c r="R125" s="18"/>
    </row>
    <row r="126" spans="1:30" x14ac:dyDescent="0.25">
      <c r="A126" s="1">
        <v>43571</v>
      </c>
      <c r="B126" s="2">
        <v>1</v>
      </c>
      <c r="C126" s="2" t="s">
        <v>65</v>
      </c>
      <c r="D126" t="s">
        <v>68</v>
      </c>
      <c r="E126">
        <v>4</v>
      </c>
      <c r="F126" t="s">
        <v>49</v>
      </c>
      <c r="G126" s="6">
        <v>0.4</v>
      </c>
      <c r="H126" s="10"/>
      <c r="K126" s="10">
        <f>10.2453-6.0653</f>
        <v>4.1800000000000006</v>
      </c>
      <c r="L126" s="9">
        <v>0</v>
      </c>
      <c r="S126">
        <v>239</v>
      </c>
      <c r="T126">
        <v>25</v>
      </c>
      <c r="U126">
        <v>411</v>
      </c>
      <c r="V126">
        <v>48</v>
      </c>
      <c r="W126">
        <v>7</v>
      </c>
      <c r="X126" s="19">
        <f>R126/50*1000*10^3</f>
        <v>0</v>
      </c>
      <c r="Y126" s="19">
        <f>S126/50*1000*10^4</f>
        <v>47800000</v>
      </c>
      <c r="Z126" s="19">
        <f t="shared" ref="Z126:Z137" si="3">T126/50*1000*10^5</f>
        <v>50000000</v>
      </c>
      <c r="AA126" s="19">
        <f t="shared" ref="AA126:AA137" si="4">U126/50*1000*10^3</f>
        <v>8220000</v>
      </c>
      <c r="AB126" s="19">
        <f t="shared" ref="AB126:AB137" si="5">V126/50*1000*10^4</f>
        <v>9600000</v>
      </c>
      <c r="AC126" s="19">
        <f t="shared" ref="AC126:AC137" si="6">W126/50*1000*10^5</f>
        <v>14000000</v>
      </c>
      <c r="AD126" s="6">
        <f>AA126*K126/(Y126*7)</f>
        <v>0.10268858338314407</v>
      </c>
    </row>
    <row r="127" spans="1:30" x14ac:dyDescent="0.25">
      <c r="A127" s="1">
        <v>43571</v>
      </c>
      <c r="B127" s="2">
        <v>2</v>
      </c>
      <c r="C127" s="2" t="s">
        <v>65</v>
      </c>
      <c r="D127" t="s">
        <v>67</v>
      </c>
      <c r="E127">
        <v>4</v>
      </c>
      <c r="F127" t="s">
        <v>49</v>
      </c>
      <c r="G127" s="6">
        <v>0.4</v>
      </c>
      <c r="H127" s="10"/>
      <c r="K127" s="10">
        <f>10.2162-6.1252</f>
        <v>4.0910000000000002</v>
      </c>
      <c r="L127" s="9">
        <v>0</v>
      </c>
      <c r="S127">
        <v>206</v>
      </c>
      <c r="T127">
        <v>33</v>
      </c>
      <c r="U127">
        <v>490</v>
      </c>
      <c r="V127">
        <v>74</v>
      </c>
      <c r="W127">
        <v>4</v>
      </c>
      <c r="X127" s="19">
        <f t="shared" ref="X127:X137" si="7">R127/50*1000*10^3</f>
        <v>0</v>
      </c>
      <c r="Y127" s="19">
        <f t="shared" ref="Y127:Y128" si="8">S127/50*1000*10^4</f>
        <v>41200000</v>
      </c>
      <c r="Z127" s="19">
        <f t="shared" si="3"/>
        <v>66000000</v>
      </c>
      <c r="AA127" s="19">
        <f t="shared" si="4"/>
        <v>9800000</v>
      </c>
      <c r="AB127" s="19">
        <f t="shared" si="5"/>
        <v>14800000</v>
      </c>
      <c r="AC127" s="19">
        <f t="shared" si="6"/>
        <v>8000000</v>
      </c>
      <c r="AD127" s="6">
        <f t="shared" ref="AD127:AD137" si="9">AA127*K127/(Y127*7)</f>
        <v>0.13901456310679611</v>
      </c>
    </row>
    <row r="128" spans="1:30" x14ac:dyDescent="0.25">
      <c r="A128" s="1">
        <v>43571</v>
      </c>
      <c r="B128" s="2">
        <v>3</v>
      </c>
      <c r="C128" s="2" t="s">
        <v>65</v>
      </c>
      <c r="D128" t="s">
        <v>58</v>
      </c>
      <c r="E128">
        <v>4</v>
      </c>
      <c r="F128" t="s">
        <v>49</v>
      </c>
      <c r="G128" s="6">
        <v>0.4</v>
      </c>
      <c r="H128" s="10"/>
      <c r="K128" s="10">
        <f>10.2255-6.08</f>
        <v>4.1455000000000002</v>
      </c>
      <c r="L128" s="9">
        <v>1E-3</v>
      </c>
      <c r="S128">
        <v>276</v>
      </c>
      <c r="T128">
        <v>29</v>
      </c>
      <c r="U128">
        <v>486</v>
      </c>
      <c r="V128">
        <v>87</v>
      </c>
      <c r="W128">
        <v>6</v>
      </c>
      <c r="X128" s="19">
        <f t="shared" si="7"/>
        <v>0</v>
      </c>
      <c r="Y128" s="19">
        <f t="shared" si="8"/>
        <v>55200000</v>
      </c>
      <c r="Z128" s="19">
        <f t="shared" si="3"/>
        <v>58000000</v>
      </c>
      <c r="AA128" s="19">
        <f t="shared" si="4"/>
        <v>9720000</v>
      </c>
      <c r="AB128" s="19">
        <f t="shared" si="5"/>
        <v>17400000</v>
      </c>
      <c r="AC128" s="19">
        <f t="shared" si="6"/>
        <v>12000000</v>
      </c>
      <c r="AD128" s="6">
        <f t="shared" si="9"/>
        <v>0.10428121118012422</v>
      </c>
    </row>
    <row r="129" spans="1:30" x14ac:dyDescent="0.25">
      <c r="A129" s="1">
        <v>43571</v>
      </c>
      <c r="B129" s="2">
        <v>4</v>
      </c>
      <c r="C129" s="2" t="s">
        <v>65</v>
      </c>
      <c r="D129" t="s">
        <v>68</v>
      </c>
      <c r="E129">
        <v>4</v>
      </c>
      <c r="F129" t="s">
        <v>49</v>
      </c>
      <c r="G129" s="6">
        <v>0.4</v>
      </c>
      <c r="H129" s="10"/>
      <c r="K129" s="10">
        <f>9.8478-6.0909</f>
        <v>3.756899999999999</v>
      </c>
      <c r="L129" s="9">
        <v>0</v>
      </c>
      <c r="S129">
        <v>229</v>
      </c>
      <c r="T129">
        <v>26</v>
      </c>
      <c r="U129">
        <v>496</v>
      </c>
      <c r="V129">
        <v>67</v>
      </c>
      <c r="W129">
        <v>6</v>
      </c>
      <c r="X129" s="19">
        <f t="shared" si="7"/>
        <v>0</v>
      </c>
      <c r="Y129" s="19">
        <f t="shared" ref="Y129:Y137" si="10">S129/50*1000*10^4</f>
        <v>45800000</v>
      </c>
      <c r="Z129" s="19">
        <f t="shared" si="3"/>
        <v>52000000</v>
      </c>
      <c r="AA129" s="19">
        <f t="shared" si="4"/>
        <v>9920000</v>
      </c>
      <c r="AB129" s="19">
        <f t="shared" si="5"/>
        <v>13400000</v>
      </c>
      <c r="AC129" s="19">
        <f t="shared" si="6"/>
        <v>12000000</v>
      </c>
      <c r="AD129" s="6">
        <f t="shared" si="9"/>
        <v>0.11624593886462879</v>
      </c>
    </row>
    <row r="130" spans="1:30" x14ac:dyDescent="0.25">
      <c r="A130" s="1">
        <v>43571</v>
      </c>
      <c r="B130" s="2">
        <v>5</v>
      </c>
      <c r="C130" s="2" t="s">
        <v>65</v>
      </c>
      <c r="D130" t="s">
        <v>67</v>
      </c>
      <c r="E130">
        <v>4</v>
      </c>
      <c r="F130" t="s">
        <v>49</v>
      </c>
      <c r="G130" s="6">
        <v>0.4</v>
      </c>
      <c r="H130" s="10"/>
      <c r="K130" s="10">
        <f>10.0103-5.9315</f>
        <v>4.0788000000000011</v>
      </c>
      <c r="L130" s="9">
        <v>1E-3</v>
      </c>
      <c r="R130" s="10">
        <v>774</v>
      </c>
      <c r="S130">
        <v>222</v>
      </c>
      <c r="T130">
        <v>31</v>
      </c>
      <c r="U130">
        <v>489</v>
      </c>
      <c r="V130">
        <v>66</v>
      </c>
      <c r="W130">
        <v>9</v>
      </c>
      <c r="X130" s="19">
        <f t="shared" si="7"/>
        <v>15480000</v>
      </c>
      <c r="Y130" s="19">
        <f t="shared" si="10"/>
        <v>44400000</v>
      </c>
      <c r="Z130" s="19">
        <f t="shared" si="3"/>
        <v>62000000</v>
      </c>
      <c r="AA130" s="19">
        <f t="shared" si="4"/>
        <v>9780000</v>
      </c>
      <c r="AB130" s="19">
        <f t="shared" si="5"/>
        <v>13200000</v>
      </c>
      <c r="AC130" s="19">
        <f t="shared" si="6"/>
        <v>18000000</v>
      </c>
      <c r="AD130" s="6">
        <f t="shared" si="9"/>
        <v>0.12834833976833979</v>
      </c>
    </row>
    <row r="131" spans="1:30" x14ac:dyDescent="0.25">
      <c r="A131" s="1">
        <v>43571</v>
      </c>
      <c r="B131" s="2">
        <v>6</v>
      </c>
      <c r="C131" s="2" t="s">
        <v>65</v>
      </c>
      <c r="D131" t="s">
        <v>58</v>
      </c>
      <c r="E131">
        <v>4</v>
      </c>
      <c r="F131" t="s">
        <v>49</v>
      </c>
      <c r="G131" s="6">
        <v>0.4</v>
      </c>
      <c r="H131" s="10"/>
      <c r="K131" s="10">
        <f>10.37-6.0706</f>
        <v>4.2993999999999994</v>
      </c>
      <c r="L131" s="9">
        <v>1E-3</v>
      </c>
      <c r="R131" s="10">
        <v>750</v>
      </c>
      <c r="S131">
        <v>198</v>
      </c>
      <c r="T131">
        <v>18</v>
      </c>
      <c r="U131">
        <v>429</v>
      </c>
      <c r="V131">
        <v>72</v>
      </c>
      <c r="W131">
        <v>5</v>
      </c>
      <c r="X131" s="19">
        <f t="shared" si="7"/>
        <v>15000000</v>
      </c>
      <c r="Y131" s="19">
        <f t="shared" si="10"/>
        <v>39600000</v>
      </c>
      <c r="Z131" s="19">
        <f t="shared" si="3"/>
        <v>36000000</v>
      </c>
      <c r="AA131" s="19">
        <f t="shared" si="4"/>
        <v>8580000</v>
      </c>
      <c r="AB131" s="19">
        <f t="shared" si="5"/>
        <v>14400000</v>
      </c>
      <c r="AC131" s="19">
        <f t="shared" si="6"/>
        <v>10000000</v>
      </c>
      <c r="AD131" s="6">
        <f t="shared" si="9"/>
        <v>0.13307666666666665</v>
      </c>
    </row>
    <row r="132" spans="1:30" x14ac:dyDescent="0.25">
      <c r="A132" s="1">
        <v>43571</v>
      </c>
      <c r="B132" s="2">
        <v>1</v>
      </c>
      <c r="C132" s="2" t="s">
        <v>66</v>
      </c>
      <c r="D132" t="s">
        <v>58</v>
      </c>
      <c r="E132">
        <v>4</v>
      </c>
      <c r="F132" t="s">
        <v>49</v>
      </c>
      <c r="G132" s="6">
        <v>0.45</v>
      </c>
      <c r="H132" s="10"/>
      <c r="K132" s="10">
        <f>10.042-6.0564</f>
        <v>3.9855999999999998</v>
      </c>
      <c r="L132" s="9">
        <v>0</v>
      </c>
      <c r="S132">
        <v>123</v>
      </c>
      <c r="T132">
        <v>14</v>
      </c>
      <c r="U132">
        <v>392</v>
      </c>
      <c r="V132">
        <v>42</v>
      </c>
      <c r="W132">
        <v>4</v>
      </c>
      <c r="X132" s="19">
        <f t="shared" si="7"/>
        <v>0</v>
      </c>
      <c r="Y132" s="19">
        <f t="shared" si="10"/>
        <v>24600000</v>
      </c>
      <c r="Z132" s="19">
        <f t="shared" si="3"/>
        <v>28000000</v>
      </c>
      <c r="AA132" s="19">
        <f>U132/50*1000*10^3</f>
        <v>7840000</v>
      </c>
      <c r="AB132" s="19">
        <f t="shared" si="5"/>
        <v>8400000</v>
      </c>
      <c r="AC132" s="19">
        <f t="shared" si="6"/>
        <v>8000000</v>
      </c>
      <c r="AD132" s="6">
        <f>AA132*K132/(Y132*7)</f>
        <v>0.18145821138211382</v>
      </c>
    </row>
    <row r="133" spans="1:30" x14ac:dyDescent="0.25">
      <c r="A133" s="1">
        <v>43571</v>
      </c>
      <c r="B133" s="2">
        <v>2</v>
      </c>
      <c r="C133" s="2" t="s">
        <v>66</v>
      </c>
      <c r="D133" t="s">
        <v>68</v>
      </c>
      <c r="E133">
        <v>4</v>
      </c>
      <c r="F133" t="s">
        <v>49</v>
      </c>
      <c r="G133" s="6">
        <v>0.45</v>
      </c>
      <c r="H133" s="10"/>
      <c r="K133" s="10">
        <f>9.8601-6.0358</f>
        <v>3.8242999999999991</v>
      </c>
      <c r="L133" s="9">
        <v>0</v>
      </c>
      <c r="S133">
        <v>67</v>
      </c>
      <c r="T133">
        <v>4</v>
      </c>
      <c r="U133">
        <v>421</v>
      </c>
      <c r="V133">
        <v>56</v>
      </c>
      <c r="W133">
        <v>3</v>
      </c>
      <c r="X133" s="19">
        <f t="shared" si="7"/>
        <v>0</v>
      </c>
      <c r="Y133" s="19">
        <f t="shared" si="10"/>
        <v>13400000</v>
      </c>
      <c r="Z133" s="19">
        <f t="shared" si="3"/>
        <v>8000000</v>
      </c>
      <c r="AA133" s="19">
        <f t="shared" si="4"/>
        <v>8420000</v>
      </c>
      <c r="AB133" s="19">
        <f t="shared" si="5"/>
        <v>11200000</v>
      </c>
      <c r="AC133" s="19">
        <f t="shared" si="6"/>
        <v>6000000</v>
      </c>
      <c r="AD133" s="6">
        <f>AA133*K133/(Y133*7)</f>
        <v>0.34329004264392315</v>
      </c>
    </row>
    <row r="134" spans="1:30" x14ac:dyDescent="0.25">
      <c r="A134" s="1">
        <v>43571</v>
      </c>
      <c r="B134" s="2">
        <v>3</v>
      </c>
      <c r="C134" s="2" t="s">
        <v>66</v>
      </c>
      <c r="D134" t="s">
        <v>67</v>
      </c>
      <c r="E134">
        <v>4</v>
      </c>
      <c r="F134" t="s">
        <v>49</v>
      </c>
      <c r="G134" s="6">
        <v>0.45</v>
      </c>
      <c r="H134" s="10"/>
      <c r="K134" s="10">
        <f>10.3403-6.0875</f>
        <v>4.2527999999999988</v>
      </c>
      <c r="L134" s="9">
        <v>1E-3</v>
      </c>
      <c r="S134">
        <v>52</v>
      </c>
      <c r="T134">
        <v>5</v>
      </c>
      <c r="U134">
        <v>466</v>
      </c>
      <c r="V134">
        <v>77</v>
      </c>
      <c r="W134">
        <v>7</v>
      </c>
      <c r="X134" s="19">
        <f t="shared" si="7"/>
        <v>0</v>
      </c>
      <c r="Y134" s="19">
        <f t="shared" si="10"/>
        <v>10400000</v>
      </c>
      <c r="Z134" s="19">
        <f t="shared" si="3"/>
        <v>10000000</v>
      </c>
      <c r="AA134" s="19">
        <f t="shared" si="4"/>
        <v>9320000</v>
      </c>
      <c r="AB134" s="19">
        <f t="shared" si="5"/>
        <v>15400000</v>
      </c>
      <c r="AC134" s="19">
        <f t="shared" si="6"/>
        <v>14000000</v>
      </c>
      <c r="AD134" s="6">
        <f>AA134*K134/(Y134*7)</f>
        <v>0.54445186813186808</v>
      </c>
    </row>
    <row r="135" spans="1:30" x14ac:dyDescent="0.25">
      <c r="A135" s="1">
        <v>43571</v>
      </c>
      <c r="B135" s="2">
        <v>4</v>
      </c>
      <c r="C135" s="2" t="s">
        <v>66</v>
      </c>
      <c r="D135" t="s">
        <v>58</v>
      </c>
      <c r="E135">
        <v>4</v>
      </c>
      <c r="F135" t="s">
        <v>49</v>
      </c>
      <c r="G135" s="6">
        <v>0.45</v>
      </c>
      <c r="H135" s="10"/>
      <c r="K135" s="10">
        <f>9.87-6.0185</f>
        <v>3.8514999999999988</v>
      </c>
      <c r="L135" s="9">
        <v>0</v>
      </c>
      <c r="S135">
        <v>75</v>
      </c>
      <c r="T135">
        <v>33</v>
      </c>
      <c r="U135">
        <v>417</v>
      </c>
      <c r="V135">
        <v>76</v>
      </c>
      <c r="W135">
        <v>7</v>
      </c>
      <c r="X135" s="19">
        <f t="shared" si="7"/>
        <v>0</v>
      </c>
      <c r="Y135" s="19">
        <f t="shared" si="10"/>
        <v>15000000</v>
      </c>
      <c r="Z135" s="19">
        <f t="shared" si="3"/>
        <v>66000000</v>
      </c>
      <c r="AA135" s="19">
        <f t="shared" si="4"/>
        <v>8340000</v>
      </c>
      <c r="AB135" s="19">
        <f t="shared" si="5"/>
        <v>15200000</v>
      </c>
      <c r="AC135" s="19">
        <f t="shared" si="6"/>
        <v>14000000</v>
      </c>
      <c r="AD135" s="6">
        <f t="shared" si="9"/>
        <v>0.30591914285714278</v>
      </c>
    </row>
    <row r="136" spans="1:30" x14ac:dyDescent="0.25">
      <c r="A136" s="1">
        <v>43571</v>
      </c>
      <c r="B136" s="2">
        <v>5</v>
      </c>
      <c r="C136" s="2" t="s">
        <v>66</v>
      </c>
      <c r="D136" t="s">
        <v>68</v>
      </c>
      <c r="E136">
        <v>4</v>
      </c>
      <c r="F136" t="s">
        <v>49</v>
      </c>
      <c r="G136" s="6">
        <v>0.45</v>
      </c>
      <c r="H136" s="10"/>
      <c r="K136" s="10">
        <f>9.7643-6.1272</f>
        <v>3.6371000000000002</v>
      </c>
      <c r="L136" s="9">
        <v>0</v>
      </c>
      <c r="S136">
        <v>98</v>
      </c>
      <c r="T136">
        <v>5</v>
      </c>
      <c r="U136">
        <v>362</v>
      </c>
      <c r="V136">
        <v>56</v>
      </c>
      <c r="W136">
        <v>7</v>
      </c>
      <c r="X136" s="19">
        <f t="shared" si="7"/>
        <v>0</v>
      </c>
      <c r="Y136" s="19">
        <f t="shared" si="10"/>
        <v>19600000</v>
      </c>
      <c r="Z136" s="19">
        <f t="shared" si="3"/>
        <v>10000000</v>
      </c>
      <c r="AA136" s="19">
        <f t="shared" si="4"/>
        <v>7240000</v>
      </c>
      <c r="AB136" s="19">
        <f t="shared" si="5"/>
        <v>11200000</v>
      </c>
      <c r="AC136" s="19">
        <f t="shared" si="6"/>
        <v>14000000</v>
      </c>
      <c r="AD136" s="6">
        <f>AA136*K136/(Y136*7)</f>
        <v>0.19192860058309039</v>
      </c>
    </row>
    <row r="137" spans="1:30" x14ac:dyDescent="0.25">
      <c r="A137" s="1">
        <v>43571</v>
      </c>
      <c r="B137" s="2">
        <v>6</v>
      </c>
      <c r="C137" s="2" t="s">
        <v>66</v>
      </c>
      <c r="D137" t="s">
        <v>67</v>
      </c>
      <c r="E137">
        <v>4</v>
      </c>
      <c r="F137" t="s">
        <v>49</v>
      </c>
      <c r="G137" s="6">
        <v>0.45</v>
      </c>
      <c r="H137" s="10"/>
      <c r="K137" s="10">
        <f>10.2479-6.1058</f>
        <v>4.1420999999999992</v>
      </c>
      <c r="L137" s="9">
        <v>1E-3</v>
      </c>
      <c r="S137">
        <v>89</v>
      </c>
      <c r="T137">
        <v>8</v>
      </c>
      <c r="U137">
        <v>404</v>
      </c>
      <c r="V137">
        <v>60</v>
      </c>
      <c r="W137">
        <v>5</v>
      </c>
      <c r="X137" s="19">
        <f t="shared" si="7"/>
        <v>0</v>
      </c>
      <c r="Y137" s="19">
        <f t="shared" si="10"/>
        <v>17800000</v>
      </c>
      <c r="Z137" s="19">
        <f t="shared" si="3"/>
        <v>16000000</v>
      </c>
      <c r="AA137" s="19">
        <f t="shared" si="4"/>
        <v>8080000</v>
      </c>
      <c r="AB137" s="19">
        <f t="shared" si="5"/>
        <v>12000000</v>
      </c>
      <c r="AC137" s="19">
        <f t="shared" si="6"/>
        <v>10000000</v>
      </c>
      <c r="AD137" s="6">
        <f t="shared" si="9"/>
        <v>0.2686048796147672</v>
      </c>
    </row>
    <row r="138" spans="1:30" x14ac:dyDescent="0.25">
      <c r="A138" s="1">
        <v>43587</v>
      </c>
      <c r="B138" s="2">
        <v>1</v>
      </c>
      <c r="C138" s="2" t="s">
        <v>65</v>
      </c>
      <c r="D138" t="s">
        <v>83</v>
      </c>
      <c r="E138">
        <v>4</v>
      </c>
      <c r="F138" t="s">
        <v>7</v>
      </c>
      <c r="G138" s="6">
        <v>0.56000000000000005</v>
      </c>
      <c r="K138" s="10">
        <f>10.0224-6.1343</f>
        <v>3.8880999999999997</v>
      </c>
      <c r="L138" s="9">
        <v>6.5000000000000002E-2</v>
      </c>
    </row>
    <row r="139" spans="1:30" x14ac:dyDescent="0.25">
      <c r="A139" s="1">
        <v>43587</v>
      </c>
      <c r="B139" s="2">
        <v>2</v>
      </c>
      <c r="C139" s="2" t="s">
        <v>65</v>
      </c>
      <c r="D139" t="s">
        <v>82</v>
      </c>
      <c r="E139">
        <v>4</v>
      </c>
      <c r="F139" t="s">
        <v>7</v>
      </c>
      <c r="G139" s="6">
        <v>0.56000000000000005</v>
      </c>
      <c r="K139" s="10">
        <f>9.2132-6.0331</f>
        <v>3.1801000000000004</v>
      </c>
      <c r="L139" s="9">
        <v>8.0000000000000002E-3</v>
      </c>
    </row>
    <row r="140" spans="1:30" x14ac:dyDescent="0.25">
      <c r="A140" s="1">
        <v>43587</v>
      </c>
      <c r="B140" s="2">
        <v>3</v>
      </c>
      <c r="C140" s="2" t="s">
        <v>65</v>
      </c>
      <c r="D140" t="s">
        <v>84</v>
      </c>
      <c r="E140">
        <v>4</v>
      </c>
      <c r="F140" t="s">
        <v>7</v>
      </c>
      <c r="G140" s="6">
        <v>0.56000000000000005</v>
      </c>
      <c r="K140" s="10">
        <f>9.7443-6.0381</f>
        <v>3.7062000000000008</v>
      </c>
      <c r="L140" s="9">
        <v>4.0000000000000001E-3</v>
      </c>
    </row>
    <row r="141" spans="1:30" x14ac:dyDescent="0.25">
      <c r="A141" s="1">
        <v>43587</v>
      </c>
      <c r="B141" s="2">
        <v>4</v>
      </c>
      <c r="C141" s="2" t="s">
        <v>65</v>
      </c>
      <c r="D141" t="s">
        <v>83</v>
      </c>
      <c r="E141">
        <v>4</v>
      </c>
      <c r="F141" t="s">
        <v>7</v>
      </c>
      <c r="G141" s="6">
        <v>0.56000000000000005</v>
      </c>
      <c r="K141" s="10">
        <f>10.2184-6.1569</f>
        <v>4.0615000000000006</v>
      </c>
      <c r="L141" s="9">
        <v>7.0000000000000007E-2</v>
      </c>
    </row>
    <row r="142" spans="1:30" x14ac:dyDescent="0.25">
      <c r="A142" s="1">
        <v>43587</v>
      </c>
      <c r="B142" s="2">
        <v>5</v>
      </c>
      <c r="C142" s="2" t="s">
        <v>65</v>
      </c>
      <c r="D142" t="s">
        <v>82</v>
      </c>
      <c r="E142">
        <v>4</v>
      </c>
      <c r="F142" t="s">
        <v>7</v>
      </c>
      <c r="G142" s="6">
        <v>0.56000000000000005</v>
      </c>
      <c r="K142" s="10">
        <f>9.4637-6.0543</f>
        <v>3.4093999999999998</v>
      </c>
      <c r="L142" s="9">
        <v>5.0000000000000001E-3</v>
      </c>
    </row>
    <row r="143" spans="1:30" x14ac:dyDescent="0.25">
      <c r="A143" s="1">
        <v>43587</v>
      </c>
      <c r="B143" s="2">
        <v>6</v>
      </c>
      <c r="C143" s="2" t="s">
        <v>65</v>
      </c>
      <c r="D143" t="s">
        <v>84</v>
      </c>
      <c r="E143">
        <v>4</v>
      </c>
      <c r="F143" t="s">
        <v>7</v>
      </c>
      <c r="G143" s="6">
        <v>0.56000000000000005</v>
      </c>
      <c r="K143" s="10">
        <f>9.9504-6.0779</f>
        <v>3.8725000000000005</v>
      </c>
      <c r="L143" s="9">
        <v>4.4999999999999998E-2</v>
      </c>
    </row>
    <row r="144" spans="1:30" x14ac:dyDescent="0.25">
      <c r="A144" s="1">
        <v>43587</v>
      </c>
      <c r="B144" s="2">
        <v>1</v>
      </c>
      <c r="C144" s="2" t="s">
        <v>65</v>
      </c>
      <c r="D144" t="s">
        <v>83</v>
      </c>
      <c r="E144">
        <v>4</v>
      </c>
      <c r="F144" t="s">
        <v>49</v>
      </c>
      <c r="G144" s="6">
        <v>0.41499999999999998</v>
      </c>
      <c r="I144"/>
      <c r="K144" s="10">
        <f>10.2134-6.014</f>
        <v>4.1993999999999998</v>
      </c>
      <c r="L144" s="9">
        <v>0</v>
      </c>
    </row>
    <row r="145" spans="1:12" x14ac:dyDescent="0.25">
      <c r="A145" s="1">
        <v>43587</v>
      </c>
      <c r="B145" s="2">
        <v>2</v>
      </c>
      <c r="C145" s="2" t="s">
        <v>65</v>
      </c>
      <c r="D145" t="s">
        <v>84</v>
      </c>
      <c r="E145">
        <v>4</v>
      </c>
      <c r="F145" t="s">
        <v>49</v>
      </c>
      <c r="G145" s="6">
        <v>0.41499999999999998</v>
      </c>
      <c r="I145"/>
      <c r="K145" s="10">
        <f>10.2447-6.1587</f>
        <v>4.0860000000000003</v>
      </c>
      <c r="L145" s="9">
        <v>0</v>
      </c>
    </row>
    <row r="146" spans="1:12" x14ac:dyDescent="0.25">
      <c r="A146" s="1">
        <v>43587</v>
      </c>
      <c r="B146" s="2">
        <v>3</v>
      </c>
      <c r="C146" s="2" t="s">
        <v>65</v>
      </c>
      <c r="D146" t="s">
        <v>82</v>
      </c>
      <c r="E146">
        <v>4</v>
      </c>
      <c r="F146" t="s">
        <v>49</v>
      </c>
      <c r="G146" s="6">
        <v>0.41499999999999998</v>
      </c>
      <c r="I146"/>
      <c r="K146" s="10">
        <f>8.9526-6.0303</f>
        <v>2.9222999999999999</v>
      </c>
      <c r="L146" s="9">
        <v>0</v>
      </c>
    </row>
    <row r="147" spans="1:12" x14ac:dyDescent="0.25">
      <c r="A147" s="1">
        <v>43587</v>
      </c>
      <c r="B147" s="2">
        <v>4</v>
      </c>
      <c r="C147" s="2" t="s">
        <v>65</v>
      </c>
      <c r="D147" t="s">
        <v>83</v>
      </c>
      <c r="E147">
        <v>4</v>
      </c>
      <c r="F147" t="s">
        <v>49</v>
      </c>
      <c r="G147" s="6">
        <v>0.41499999999999998</v>
      </c>
      <c r="K147" s="10">
        <f>10.2938-6.0305</f>
        <v>4.2632999999999992</v>
      </c>
      <c r="L147" s="9">
        <v>0</v>
      </c>
    </row>
    <row r="148" spans="1:12" x14ac:dyDescent="0.25">
      <c r="A148" s="1">
        <v>43587</v>
      </c>
      <c r="B148" s="2">
        <v>5</v>
      </c>
      <c r="C148" s="2" t="s">
        <v>65</v>
      </c>
      <c r="D148" t="s">
        <v>84</v>
      </c>
      <c r="E148">
        <v>4</v>
      </c>
      <c r="F148" t="s">
        <v>49</v>
      </c>
      <c r="G148" s="6">
        <v>0.41499999999999998</v>
      </c>
      <c r="K148" s="10">
        <f>10.161-6.1216</f>
        <v>4.0393999999999997</v>
      </c>
      <c r="L148" s="9">
        <v>0</v>
      </c>
    </row>
    <row r="149" spans="1:12" x14ac:dyDescent="0.25">
      <c r="A149" s="1">
        <v>43587</v>
      </c>
      <c r="B149" s="2">
        <v>6</v>
      </c>
      <c r="C149" s="2" t="s">
        <v>65</v>
      </c>
      <c r="D149" t="s">
        <v>82</v>
      </c>
      <c r="E149">
        <v>4</v>
      </c>
      <c r="F149" t="s">
        <v>49</v>
      </c>
      <c r="G149" s="6">
        <v>0.41499999999999998</v>
      </c>
      <c r="K149" s="10">
        <f>9.5773-6.0861</f>
        <v>3.4911999999999992</v>
      </c>
      <c r="L149" s="9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6"/>
  <sheetViews>
    <sheetView workbookViewId="0">
      <selection sqref="A1:XFD1"/>
    </sheetView>
  </sheetViews>
  <sheetFormatPr defaultRowHeight="15" x14ac:dyDescent="0.25"/>
  <cols>
    <col min="1" max="1" width="9.7109375" bestFit="1" customWidth="1"/>
  </cols>
  <sheetData>
    <row r="1" spans="1:15" x14ac:dyDescent="0.25">
      <c r="A1" t="s">
        <v>5</v>
      </c>
      <c r="B1" t="s">
        <v>23</v>
      </c>
      <c r="C1" t="s">
        <v>0</v>
      </c>
      <c r="D1" t="s">
        <v>6</v>
      </c>
      <c r="E1" t="s">
        <v>2</v>
      </c>
      <c r="F1" t="s">
        <v>24</v>
      </c>
      <c r="G1" t="s">
        <v>25</v>
      </c>
      <c r="H1" t="s">
        <v>26</v>
      </c>
      <c r="I1" t="s">
        <v>34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35</v>
      </c>
    </row>
    <row r="2" spans="1:15" x14ac:dyDescent="0.25">
      <c r="A2" s="1">
        <v>43249</v>
      </c>
      <c r="B2" s="5">
        <v>1</v>
      </c>
      <c r="C2" t="s">
        <v>3</v>
      </c>
      <c r="D2" t="s">
        <v>7</v>
      </c>
      <c r="E2">
        <v>0.56999999999999995</v>
      </c>
      <c r="H2">
        <f>9.9071-6.1287</f>
        <v>3.7783999999999995</v>
      </c>
      <c r="J2">
        <v>0.125</v>
      </c>
      <c r="K2">
        <f>AVERAGE(0.3538,0.3393,0.3552,0.2848)</f>
        <v>0.33327499999999999</v>
      </c>
      <c r="L2">
        <f>AVERAGE(2.6946,2.7051,2.6921,2.7005,2.7057)</f>
        <v>2.6995999999999998</v>
      </c>
      <c r="M2">
        <f>AVERAGE(0.048,0.0479,0.0482,0.048,0.0481)</f>
        <v>4.8039999999999999E-2</v>
      </c>
      <c r="N2">
        <f>AVERAGE(0.0238,0.0238,0.0241,0.024,0.024)</f>
        <v>2.3939999999999999E-2</v>
      </c>
      <c r="O2" t="s">
        <v>36</v>
      </c>
    </row>
    <row r="3" spans="1:15" x14ac:dyDescent="0.25">
      <c r="A3" s="1">
        <v>43249</v>
      </c>
      <c r="B3" s="5">
        <v>2</v>
      </c>
      <c r="C3" t="s">
        <v>3</v>
      </c>
      <c r="D3" t="s">
        <v>7</v>
      </c>
      <c r="E3">
        <v>0.48899999999999999</v>
      </c>
      <c r="H3">
        <f>10.2262-6.1102</f>
        <v>4.1160000000000005</v>
      </c>
      <c r="J3">
        <v>0.191</v>
      </c>
      <c r="O3" t="s">
        <v>36</v>
      </c>
    </row>
    <row r="4" spans="1:15" x14ac:dyDescent="0.25">
      <c r="A4" s="1">
        <v>43249</v>
      </c>
      <c r="B4" s="5">
        <v>3</v>
      </c>
      <c r="C4" t="s">
        <v>3</v>
      </c>
      <c r="D4" t="s">
        <v>7</v>
      </c>
      <c r="E4">
        <f>4.35/9</f>
        <v>0.48333333333333328</v>
      </c>
      <c r="H4">
        <f>10.4058-6.142</f>
        <v>4.2637999999999989</v>
      </c>
      <c r="J4">
        <v>0.19</v>
      </c>
      <c r="O4" t="s">
        <v>36</v>
      </c>
    </row>
    <row r="5" spans="1:15" x14ac:dyDescent="0.25">
      <c r="A5" s="1">
        <v>43249</v>
      </c>
      <c r="B5" s="5">
        <v>4</v>
      </c>
      <c r="C5" t="s">
        <v>4</v>
      </c>
      <c r="D5" t="s">
        <v>7</v>
      </c>
      <c r="E5">
        <v>0.48299999999999998</v>
      </c>
      <c r="H5">
        <f>9.249-6.1395</f>
        <v>3.1095000000000006</v>
      </c>
      <c r="J5">
        <f>1.2/7.2</f>
        <v>0.16666666666666666</v>
      </c>
      <c r="O5" t="s">
        <v>36</v>
      </c>
    </row>
    <row r="6" spans="1:15" x14ac:dyDescent="0.25">
      <c r="A6" s="1">
        <v>43249</v>
      </c>
      <c r="B6" s="5">
        <v>5</v>
      </c>
      <c r="C6" t="s">
        <v>4</v>
      </c>
      <c r="D6" t="s">
        <v>7</v>
      </c>
      <c r="E6">
        <f>4.5/9.3</f>
        <v>0.48387096774193544</v>
      </c>
      <c r="H6">
        <f>9.7667-6.1078</f>
        <v>3.6589</v>
      </c>
      <c r="J6">
        <f>1.6/8.75</f>
        <v>0.18285714285714286</v>
      </c>
      <c r="K6">
        <f>AVERAGE(0.4088,0.2901,0.5149,0.3388,0.4738,0.4108)</f>
        <v>0.40619999999999995</v>
      </c>
      <c r="L6">
        <f>AVERAGE(3.1669,3.1765,3.1355,3.1426,3.153,3.1487)</f>
        <v>3.153866666666667</v>
      </c>
      <c r="M6">
        <f>AVERAGE(0.0443,0.0444,0.0446,0.0445,0.0445,0.0445)</f>
        <v>4.4466666666666661E-2</v>
      </c>
      <c r="N6">
        <f>AVERAGE(0.0181,0.0182,0.0187,0.0182,0.0183,0.0183)</f>
        <v>1.83E-2</v>
      </c>
      <c r="O6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Main_page_wide</vt:lpstr>
      <vt:lpstr>Hematocrit</vt:lpstr>
      <vt:lpstr>Bad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2019-05-02T22:55:07Z</dcterms:modified>
</cp:coreProperties>
</file>