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codeName="ThisWorkbook" defaultThemeVersion="124226"/>
  <xr:revisionPtr revIDLastSave="0" documentId="13_ncr:1_{7B567535-6371-46F8-BC88-49F5A1C8FEB8}" xr6:coauthVersionLast="43" xr6:coauthVersionMax="43" xr10:uidLastSave="{00000000-0000-0000-0000-000000000000}"/>
  <bookViews>
    <workbookView xWindow="-108" yWindow="-108" windowWidth="22272" windowHeight="13176" xr2:uid="{00000000-000D-0000-FFFF-FFFF00000000}"/>
  </bookViews>
  <sheets>
    <sheet name="Designs" sheetId="3" r:id="rId1"/>
    <sheet name="HCT_time" sheetId="4" r:id="rId2"/>
  </sheets>
  <definedNames>
    <definedName name="_xlnm._FilterDatabase" localSheetId="0" hidden="1">Designs!$A$1:$L$149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4" i="4" l="1"/>
  <c r="AC55" i="4"/>
  <c r="AC47" i="4"/>
  <c r="AC48" i="4"/>
  <c r="AC49" i="4"/>
  <c r="AC50" i="4"/>
  <c r="AC51" i="4"/>
  <c r="AD51" i="4" s="1"/>
  <c r="AB53" i="4"/>
  <c r="AA53" i="4"/>
  <c r="Z53" i="4"/>
  <c r="Y53" i="4"/>
  <c r="X53" i="4"/>
  <c r="W53" i="4"/>
  <c r="V53" i="4"/>
  <c r="L53" i="4"/>
  <c r="AB52" i="4"/>
  <c r="Z52" i="4"/>
  <c r="Y52" i="4"/>
  <c r="X52" i="4"/>
  <c r="W52" i="4"/>
  <c r="V52" i="4"/>
  <c r="AA52" i="4"/>
  <c r="AC52" i="4" s="1"/>
  <c r="L52" i="4"/>
  <c r="AD52" i="4" l="1"/>
  <c r="V47" i="4"/>
  <c r="W47" i="4"/>
  <c r="X47" i="4"/>
  <c r="Y47" i="4"/>
  <c r="Z47" i="4"/>
  <c r="AA47" i="4"/>
  <c r="AB47" i="4"/>
  <c r="V48" i="4"/>
  <c r="W48" i="4"/>
  <c r="X48" i="4"/>
  <c r="Y48" i="4"/>
  <c r="Z48" i="4"/>
  <c r="AA48" i="4"/>
  <c r="AB48" i="4"/>
  <c r="V49" i="4"/>
  <c r="W49" i="4"/>
  <c r="X49" i="4"/>
  <c r="Y49" i="4"/>
  <c r="Z49" i="4"/>
  <c r="AA49" i="4"/>
  <c r="AB49" i="4"/>
  <c r="V50" i="4"/>
  <c r="W50" i="4"/>
  <c r="X50" i="4"/>
  <c r="Y50" i="4"/>
  <c r="Z50" i="4"/>
  <c r="AA50" i="4"/>
  <c r="AB50" i="4"/>
  <c r="V51" i="4"/>
  <c r="W51" i="4"/>
  <c r="X51" i="4"/>
  <c r="Y51" i="4"/>
  <c r="Z51" i="4"/>
  <c r="AA51" i="4"/>
  <c r="AB51" i="4"/>
  <c r="V54" i="4"/>
  <c r="W54" i="4"/>
  <c r="X54" i="4"/>
  <c r="AC53" i="4" s="1"/>
  <c r="AD53" i="4" s="1"/>
  <c r="Y54" i="4"/>
  <c r="Z54" i="4"/>
  <c r="AA54" i="4"/>
  <c r="AD54" i="4" s="1"/>
  <c r="AB54" i="4"/>
  <c r="V55" i="4"/>
  <c r="W55" i="4"/>
  <c r="Y55" i="4"/>
  <c r="Z55" i="4"/>
  <c r="AA55" i="4"/>
  <c r="AB55" i="4"/>
  <c r="AD48" i="4" l="1"/>
  <c r="AD49" i="4"/>
  <c r="AD55" i="4"/>
  <c r="AD50" i="4"/>
  <c r="AD47" i="4"/>
  <c r="L55" i="4"/>
  <c r="L54" i="4"/>
  <c r="L51" i="4"/>
  <c r="L50" i="4"/>
  <c r="L49" i="4"/>
  <c r="L48" i="4"/>
  <c r="L47" i="4"/>
  <c r="K161" i="3" l="1"/>
  <c r="K160" i="3"/>
  <c r="K159" i="3"/>
  <c r="K158" i="3"/>
  <c r="K157" i="3"/>
  <c r="K156" i="3"/>
  <c r="K150" i="3"/>
  <c r="K151" i="3"/>
  <c r="K152" i="3"/>
  <c r="K153" i="3"/>
  <c r="K154" i="3"/>
  <c r="K155" i="3"/>
  <c r="AC43" i="4" l="1"/>
  <c r="AD43" i="4" s="1"/>
  <c r="AC41" i="4"/>
  <c r="AD41" i="4" s="1"/>
  <c r="AD42" i="4"/>
  <c r="AD44" i="4"/>
  <c r="AC38" i="4"/>
  <c r="AC42" i="4"/>
  <c r="AC44" i="4"/>
  <c r="AC45" i="4"/>
  <c r="AB43" i="4"/>
  <c r="V41" i="4"/>
  <c r="W41" i="4"/>
  <c r="X41" i="4"/>
  <c r="Y41" i="4"/>
  <c r="Z41" i="4"/>
  <c r="AA41" i="4"/>
  <c r="AB41" i="4"/>
  <c r="V42" i="4"/>
  <c r="W42" i="4"/>
  <c r="X42" i="4"/>
  <c r="Y42" i="4"/>
  <c r="Z42" i="4"/>
  <c r="AA42" i="4"/>
  <c r="AB42" i="4"/>
  <c r="V43" i="4"/>
  <c r="W43" i="4"/>
  <c r="X43" i="4"/>
  <c r="Y43" i="4"/>
  <c r="Z43" i="4"/>
  <c r="AA43" i="4"/>
  <c r="Z37" i="4" l="1"/>
  <c r="Z38" i="4"/>
  <c r="Z39" i="4"/>
  <c r="Z40" i="4"/>
  <c r="Z44" i="4"/>
  <c r="Z45" i="4"/>
  <c r="Z46" i="4"/>
  <c r="W38" i="4"/>
  <c r="AC39" i="4"/>
  <c r="AC40" i="4"/>
  <c r="AC46" i="4"/>
  <c r="AD45" i="4"/>
  <c r="V38" i="4"/>
  <c r="X38" i="4"/>
  <c r="Y38" i="4"/>
  <c r="AA38" i="4"/>
  <c r="AB38" i="4"/>
  <c r="V39" i="4"/>
  <c r="W39" i="4"/>
  <c r="Y39" i="4"/>
  <c r="AA39" i="4"/>
  <c r="AD39" i="4" s="1"/>
  <c r="AB39" i="4"/>
  <c r="V40" i="4"/>
  <c r="W40" i="4"/>
  <c r="X40" i="4"/>
  <c r="Y40" i="4"/>
  <c r="AA40" i="4"/>
  <c r="AB40" i="4"/>
  <c r="AD40" i="4"/>
  <c r="V44" i="4"/>
  <c r="W44" i="4"/>
  <c r="Y44" i="4"/>
  <c r="AA44" i="4"/>
  <c r="AB44" i="4"/>
  <c r="V45" i="4"/>
  <c r="W45" i="4"/>
  <c r="X45" i="4"/>
  <c r="Y45" i="4"/>
  <c r="AA45" i="4"/>
  <c r="AB45" i="4"/>
  <c r="V46" i="4"/>
  <c r="W46" i="4"/>
  <c r="X46" i="4"/>
  <c r="Y46" i="4"/>
  <c r="AA46" i="4"/>
  <c r="AB46" i="4"/>
  <c r="AD38" i="4" l="1"/>
  <c r="AD46" i="4"/>
  <c r="L46" i="4"/>
  <c r="L45" i="4"/>
  <c r="L44" i="4"/>
  <c r="L43" i="4"/>
  <c r="L42" i="4"/>
  <c r="L41" i="4"/>
  <c r="L40" i="4"/>
  <c r="L39" i="4"/>
  <c r="L38" i="4"/>
  <c r="J43" i="4"/>
  <c r="J41" i="4"/>
  <c r="J38" i="4"/>
  <c r="AC32" i="4" l="1"/>
  <c r="AD32" i="4" s="1"/>
  <c r="AC33" i="4"/>
  <c r="AD33" i="4"/>
  <c r="AC34" i="4"/>
  <c r="AD34" i="4" s="1"/>
  <c r="AC35" i="4"/>
  <c r="AD35" i="4"/>
  <c r="AC36" i="4"/>
  <c r="AD36" i="4" s="1"/>
  <c r="AC37" i="4"/>
  <c r="AD37" i="4"/>
  <c r="AC30" i="4"/>
  <c r="AD30" i="4" s="1"/>
  <c r="AC31" i="4"/>
  <c r="AD31" i="4" s="1"/>
  <c r="AD29" i="4"/>
  <c r="AC29" i="4"/>
  <c r="AC22" i="4"/>
  <c r="AD22" i="4" s="1"/>
  <c r="AC23" i="4"/>
  <c r="AD23" i="4"/>
  <c r="AC24" i="4"/>
  <c r="AD24" i="4" s="1"/>
  <c r="AC26" i="4"/>
  <c r="AD26" i="4" s="1"/>
  <c r="AC27" i="4"/>
  <c r="AD27" i="4"/>
  <c r="AC28" i="4"/>
  <c r="AD28" i="4" s="1"/>
  <c r="AC21" i="4"/>
  <c r="AD21" i="4" s="1"/>
  <c r="AD20" i="4"/>
  <c r="AC20" i="4"/>
  <c r="AC16" i="4"/>
  <c r="AD16" i="4" s="1"/>
  <c r="AC17" i="4"/>
  <c r="AD17" i="4"/>
  <c r="AC18" i="4"/>
  <c r="AD18" i="4" s="1"/>
  <c r="AC19" i="4"/>
  <c r="AD19" i="4"/>
  <c r="AC12" i="4"/>
  <c r="AD12" i="4" s="1"/>
  <c r="AC13" i="4"/>
  <c r="AD13" i="4"/>
  <c r="AC14" i="4"/>
  <c r="AD14" i="4"/>
  <c r="AC15" i="4"/>
  <c r="AD15" i="4"/>
  <c r="AD11" i="4"/>
  <c r="AC11" i="4"/>
  <c r="AC4" i="4"/>
  <c r="AD4" i="4"/>
  <c r="AC5" i="4"/>
  <c r="AD5" i="4"/>
  <c r="AC6" i="4"/>
  <c r="AD6" i="4"/>
  <c r="AC7" i="4"/>
  <c r="AD7" i="4"/>
  <c r="AC8" i="4"/>
  <c r="AD8" i="4"/>
  <c r="AC9" i="4"/>
  <c r="AD9" i="4"/>
  <c r="AC10" i="4"/>
  <c r="AD10" i="4"/>
  <c r="AC3" i="4"/>
  <c r="AD3" i="4"/>
  <c r="AD2" i="4"/>
  <c r="AC2" i="4"/>
  <c r="AA37" i="4"/>
  <c r="T37" i="4"/>
  <c r="AB32" i="4"/>
  <c r="V31" i="4"/>
  <c r="W26" i="4"/>
  <c r="AA31" i="4"/>
  <c r="V29" i="4"/>
  <c r="W29" i="4"/>
  <c r="X29" i="4"/>
  <c r="Y29" i="4"/>
  <c r="Z29" i="4"/>
  <c r="AA29" i="4"/>
  <c r="AB29" i="4"/>
  <c r="V30" i="4"/>
  <c r="W30" i="4"/>
  <c r="X30" i="4"/>
  <c r="Y30" i="4"/>
  <c r="Z30" i="4"/>
  <c r="AA30" i="4"/>
  <c r="AB30" i="4"/>
  <c r="W31" i="4"/>
  <c r="X31" i="4"/>
  <c r="Y31" i="4"/>
  <c r="Z31" i="4"/>
  <c r="AB31" i="4"/>
  <c r="V32" i="4"/>
  <c r="W32" i="4"/>
  <c r="Z32" i="4"/>
  <c r="AA32" i="4"/>
  <c r="V33" i="4"/>
  <c r="W33" i="4"/>
  <c r="X33" i="4"/>
  <c r="Y33" i="4"/>
  <c r="Z33" i="4"/>
  <c r="AA33" i="4"/>
  <c r="AB33" i="4"/>
  <c r="V34" i="4"/>
  <c r="W34" i="4"/>
  <c r="X34" i="4"/>
  <c r="Y34" i="4"/>
  <c r="Z34" i="4"/>
  <c r="AA34" i="4"/>
  <c r="AB34" i="4"/>
  <c r="V35" i="4"/>
  <c r="W35" i="4"/>
  <c r="X35" i="4"/>
  <c r="Y35" i="4"/>
  <c r="Z35" i="4"/>
  <c r="AA35" i="4"/>
  <c r="AB35" i="4"/>
  <c r="V36" i="4"/>
  <c r="W36" i="4"/>
  <c r="X36" i="4"/>
  <c r="Y36" i="4"/>
  <c r="Z36" i="4"/>
  <c r="AA36" i="4"/>
  <c r="AB36" i="4"/>
  <c r="V37" i="4"/>
  <c r="W37" i="4"/>
  <c r="X37" i="4"/>
  <c r="Y37" i="4"/>
  <c r="AB37" i="4"/>
  <c r="P31" i="4"/>
  <c r="W24" i="4" l="1"/>
  <c r="Z24" i="4"/>
  <c r="W20" i="4"/>
  <c r="X20" i="4"/>
  <c r="Y20" i="4"/>
  <c r="Z20" i="4"/>
  <c r="AA20" i="4"/>
  <c r="AB20" i="4"/>
  <c r="W21" i="4"/>
  <c r="X21" i="4"/>
  <c r="Y21" i="4"/>
  <c r="Z21" i="4"/>
  <c r="AA21" i="4"/>
  <c r="AB21" i="4"/>
  <c r="W22" i="4"/>
  <c r="X22" i="4"/>
  <c r="Y22" i="4"/>
  <c r="Z22" i="4"/>
  <c r="AA22" i="4"/>
  <c r="AB22" i="4"/>
  <c r="W23" i="4"/>
  <c r="X23" i="4"/>
  <c r="Y23" i="4"/>
  <c r="Z23" i="4"/>
  <c r="AA23" i="4"/>
  <c r="AB23" i="4"/>
  <c r="X24" i="4"/>
  <c r="Y24" i="4"/>
  <c r="AA24" i="4"/>
  <c r="AB24" i="4"/>
  <c r="X26" i="4"/>
  <c r="Y26" i="4"/>
  <c r="Z26" i="4"/>
  <c r="AA26" i="4"/>
  <c r="AB26" i="4"/>
  <c r="W27" i="4"/>
  <c r="X27" i="4"/>
  <c r="Y27" i="4"/>
  <c r="Z27" i="4"/>
  <c r="AA27" i="4"/>
  <c r="AB27" i="4"/>
  <c r="W28" i="4"/>
  <c r="X28" i="4"/>
  <c r="Y28" i="4"/>
  <c r="Z28" i="4"/>
  <c r="AA28" i="4"/>
  <c r="AB28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6" i="4"/>
  <c r="V27" i="4"/>
  <c r="V28" i="4"/>
  <c r="V2" i="4"/>
  <c r="W2" i="4"/>
  <c r="L34" i="4"/>
  <c r="L33" i="4"/>
  <c r="L32" i="4"/>
  <c r="L31" i="4"/>
  <c r="L30" i="4"/>
  <c r="L29" i="4"/>
  <c r="L37" i="4"/>
  <c r="L36" i="4"/>
  <c r="L35" i="4"/>
  <c r="J12" i="4" l="1"/>
  <c r="L12" i="4"/>
  <c r="W12" i="4"/>
  <c r="X12" i="4"/>
  <c r="Y12" i="4"/>
  <c r="Z12" i="4"/>
  <c r="AA12" i="4"/>
  <c r="AB12" i="4"/>
  <c r="L28" i="4"/>
  <c r="L27" i="4"/>
  <c r="L26" i="4"/>
  <c r="L24" i="4"/>
  <c r="L23" i="4"/>
  <c r="L22" i="4"/>
  <c r="L21" i="4"/>
  <c r="L20" i="4"/>
  <c r="W11" i="4"/>
  <c r="X11" i="4"/>
  <c r="Y11" i="4"/>
  <c r="Z11" i="4"/>
  <c r="AA11" i="4"/>
  <c r="AB11" i="4"/>
  <c r="W13" i="4"/>
  <c r="X13" i="4"/>
  <c r="Y13" i="4"/>
  <c r="Z13" i="4"/>
  <c r="AA13" i="4"/>
  <c r="AB13" i="4"/>
  <c r="W14" i="4"/>
  <c r="X14" i="4"/>
  <c r="Y14" i="4"/>
  <c r="Z14" i="4"/>
  <c r="AA14" i="4"/>
  <c r="AB14" i="4"/>
  <c r="W15" i="4"/>
  <c r="X15" i="4"/>
  <c r="Y15" i="4"/>
  <c r="Z15" i="4"/>
  <c r="AA15" i="4"/>
  <c r="AB15" i="4"/>
  <c r="W16" i="4"/>
  <c r="X16" i="4"/>
  <c r="Y16" i="4"/>
  <c r="Z16" i="4"/>
  <c r="AA16" i="4"/>
  <c r="AB16" i="4"/>
  <c r="W17" i="4"/>
  <c r="X17" i="4"/>
  <c r="Y17" i="4"/>
  <c r="Z17" i="4"/>
  <c r="AA17" i="4"/>
  <c r="AB17" i="4"/>
  <c r="W18" i="4"/>
  <c r="X18" i="4"/>
  <c r="Y18" i="4"/>
  <c r="Z18" i="4"/>
  <c r="AA18" i="4"/>
  <c r="AB18" i="4"/>
  <c r="W19" i="4"/>
  <c r="X19" i="4"/>
  <c r="Y19" i="4"/>
  <c r="Z19" i="4"/>
  <c r="AA19" i="4"/>
  <c r="AB19" i="4"/>
  <c r="J17" i="4"/>
  <c r="J14" i="4"/>
  <c r="L19" i="4" l="1"/>
  <c r="L18" i="4"/>
  <c r="L17" i="4"/>
  <c r="L16" i="4"/>
  <c r="L15" i="4"/>
  <c r="L14" i="4"/>
  <c r="L13" i="4"/>
  <c r="L11" i="4"/>
  <c r="AB10" i="4"/>
  <c r="AA10" i="4"/>
  <c r="Z10" i="4"/>
  <c r="Y10" i="4"/>
  <c r="X10" i="4"/>
  <c r="W10" i="4"/>
  <c r="L10" i="4"/>
  <c r="AB9" i="4"/>
  <c r="AA9" i="4"/>
  <c r="Z9" i="4"/>
  <c r="Y9" i="4"/>
  <c r="X9" i="4"/>
  <c r="W9" i="4"/>
  <c r="L9" i="4"/>
  <c r="AB8" i="4"/>
  <c r="AA8" i="4"/>
  <c r="Z8" i="4"/>
  <c r="Y8" i="4"/>
  <c r="X8" i="4"/>
  <c r="W8" i="4"/>
  <c r="L8" i="4"/>
  <c r="AB7" i="4"/>
  <c r="AA7" i="4"/>
  <c r="Z7" i="4"/>
  <c r="Y7" i="4"/>
  <c r="X7" i="4"/>
  <c r="W7" i="4"/>
  <c r="L7" i="4"/>
  <c r="AB6" i="4"/>
  <c r="AA6" i="4"/>
  <c r="Z6" i="4"/>
  <c r="Y6" i="4"/>
  <c r="X6" i="4"/>
  <c r="W6" i="4"/>
  <c r="L6" i="4"/>
  <c r="AB5" i="4"/>
  <c r="AA5" i="4"/>
  <c r="Z5" i="4"/>
  <c r="Y5" i="4"/>
  <c r="X5" i="4"/>
  <c r="W5" i="4"/>
  <c r="L5" i="4"/>
  <c r="AB4" i="4"/>
  <c r="AA4" i="4"/>
  <c r="Z4" i="4"/>
  <c r="Y4" i="4"/>
  <c r="X4" i="4"/>
  <c r="W4" i="4"/>
  <c r="L4" i="4"/>
  <c r="AB3" i="4"/>
  <c r="AA3" i="4"/>
  <c r="Z3" i="4"/>
  <c r="Y3" i="4"/>
  <c r="X3" i="4"/>
  <c r="W3" i="4"/>
  <c r="L3" i="4"/>
  <c r="AB2" i="4"/>
  <c r="AA2" i="4"/>
  <c r="Z2" i="4"/>
  <c r="Y2" i="4"/>
  <c r="L2" i="4"/>
  <c r="AA138" i="3" l="1"/>
  <c r="X138" i="3"/>
  <c r="Y138" i="3"/>
  <c r="Z138" i="3"/>
  <c r="AB138" i="3"/>
  <c r="AC138" i="3"/>
  <c r="X139" i="3"/>
  <c r="Y139" i="3"/>
  <c r="Z139" i="3"/>
  <c r="AA139" i="3"/>
  <c r="AB139" i="3"/>
  <c r="AC139" i="3"/>
  <c r="X140" i="3"/>
  <c r="Y140" i="3"/>
  <c r="Z140" i="3"/>
  <c r="AA140" i="3"/>
  <c r="AB140" i="3"/>
  <c r="AC140" i="3"/>
  <c r="X141" i="3"/>
  <c r="Y141" i="3"/>
  <c r="Z141" i="3"/>
  <c r="AA141" i="3"/>
  <c r="AB141" i="3"/>
  <c r="AC141" i="3"/>
  <c r="X142" i="3"/>
  <c r="Y142" i="3"/>
  <c r="Z142" i="3"/>
  <c r="AA142" i="3"/>
  <c r="AB142" i="3"/>
  <c r="AC142" i="3"/>
  <c r="X143" i="3"/>
  <c r="Y143" i="3"/>
  <c r="Z143" i="3"/>
  <c r="AA143" i="3"/>
  <c r="AB143" i="3"/>
  <c r="AC143" i="3"/>
  <c r="X144" i="3"/>
  <c r="Y144" i="3"/>
  <c r="Z144" i="3"/>
  <c r="AA144" i="3"/>
  <c r="AB144" i="3"/>
  <c r="AC144" i="3"/>
  <c r="X145" i="3"/>
  <c r="Y145" i="3"/>
  <c r="Z145" i="3"/>
  <c r="AA145" i="3"/>
  <c r="AB145" i="3"/>
  <c r="AC145" i="3"/>
  <c r="X146" i="3"/>
  <c r="Y146" i="3"/>
  <c r="Z146" i="3"/>
  <c r="AA146" i="3"/>
  <c r="AB146" i="3"/>
  <c r="AC146" i="3"/>
  <c r="X147" i="3"/>
  <c r="Y147" i="3"/>
  <c r="Z147" i="3"/>
  <c r="AA147" i="3"/>
  <c r="AB147" i="3"/>
  <c r="AC147" i="3"/>
  <c r="X148" i="3"/>
  <c r="Y148" i="3"/>
  <c r="Z148" i="3"/>
  <c r="AA148" i="3"/>
  <c r="AB148" i="3"/>
  <c r="AC148" i="3"/>
  <c r="X149" i="3"/>
  <c r="Y149" i="3"/>
  <c r="Z149" i="3"/>
  <c r="AA149" i="3"/>
  <c r="AB149" i="3"/>
  <c r="AC149" i="3"/>
  <c r="K149" i="3" l="1"/>
  <c r="AD149" i="3" s="1"/>
  <c r="K148" i="3"/>
  <c r="AD148" i="3" s="1"/>
  <c r="K147" i="3"/>
  <c r="AD147" i="3" s="1"/>
  <c r="K146" i="3"/>
  <c r="AD146" i="3" s="1"/>
  <c r="K145" i="3"/>
  <c r="AD145" i="3" s="1"/>
  <c r="K144" i="3"/>
  <c r="AD144" i="3" s="1"/>
  <c r="K143" i="3"/>
  <c r="AD143" i="3" s="1"/>
  <c r="K142" i="3"/>
  <c r="AD142" i="3" s="1"/>
  <c r="K141" i="3"/>
  <c r="AD141" i="3" s="1"/>
  <c r="K140" i="3"/>
  <c r="AD140" i="3" s="1"/>
  <c r="K139" i="3"/>
  <c r="AD139" i="3" s="1"/>
  <c r="K138" i="3"/>
  <c r="AD138" i="3" s="1"/>
  <c r="AA132" i="3" l="1"/>
  <c r="X126" i="3"/>
  <c r="Y126" i="3" l="1"/>
  <c r="Y127" i="3"/>
  <c r="Y128" i="3"/>
  <c r="Z137" i="3"/>
  <c r="Y137" i="3"/>
  <c r="X137" i="3"/>
  <c r="Z136" i="3"/>
  <c r="Y136" i="3"/>
  <c r="X136" i="3"/>
  <c r="Z135" i="3"/>
  <c r="Y135" i="3"/>
  <c r="X135" i="3"/>
  <c r="Z134" i="3"/>
  <c r="Y134" i="3"/>
  <c r="X134" i="3"/>
  <c r="Z133" i="3"/>
  <c r="Y133" i="3"/>
  <c r="X133" i="3"/>
  <c r="Z132" i="3"/>
  <c r="Y132" i="3"/>
  <c r="X132" i="3"/>
  <c r="Z131" i="3"/>
  <c r="Y131" i="3"/>
  <c r="X131" i="3"/>
  <c r="Z130" i="3"/>
  <c r="Y130" i="3"/>
  <c r="X130" i="3"/>
  <c r="Z129" i="3"/>
  <c r="Y129" i="3"/>
  <c r="X129" i="3"/>
  <c r="Z128" i="3"/>
  <c r="X128" i="3"/>
  <c r="Z127" i="3"/>
  <c r="X127" i="3"/>
  <c r="Z126" i="3"/>
  <c r="AA127" i="3"/>
  <c r="AB127" i="3"/>
  <c r="AC127" i="3"/>
  <c r="AA128" i="3"/>
  <c r="AB128" i="3"/>
  <c r="AC128" i="3"/>
  <c r="AA129" i="3"/>
  <c r="AB129" i="3"/>
  <c r="AC129" i="3"/>
  <c r="AA130" i="3"/>
  <c r="AB130" i="3"/>
  <c r="AC130" i="3"/>
  <c r="AA131" i="3"/>
  <c r="AB131" i="3"/>
  <c r="AC131" i="3"/>
  <c r="AB132" i="3"/>
  <c r="AC132" i="3"/>
  <c r="AA133" i="3"/>
  <c r="AB133" i="3"/>
  <c r="AC133" i="3"/>
  <c r="AA134" i="3"/>
  <c r="AB134" i="3"/>
  <c r="AC134" i="3"/>
  <c r="AA135" i="3"/>
  <c r="AB135" i="3"/>
  <c r="AC135" i="3"/>
  <c r="AA136" i="3"/>
  <c r="AB136" i="3"/>
  <c r="AC136" i="3"/>
  <c r="AA137" i="3"/>
  <c r="AB137" i="3"/>
  <c r="AC137" i="3"/>
  <c r="AC126" i="3"/>
  <c r="AB126" i="3"/>
  <c r="AA126" i="3"/>
  <c r="K137" i="3" l="1"/>
  <c r="AD137" i="3" s="1"/>
  <c r="K136" i="3"/>
  <c r="AD136" i="3" s="1"/>
  <c r="K135" i="3"/>
  <c r="AD135" i="3" s="1"/>
  <c r="K134" i="3"/>
  <c r="AD134" i="3" s="1"/>
  <c r="K133" i="3"/>
  <c r="AD133" i="3" s="1"/>
  <c r="K132" i="3"/>
  <c r="AD132" i="3" s="1"/>
  <c r="K131" i="3"/>
  <c r="AD131" i="3" s="1"/>
  <c r="K130" i="3"/>
  <c r="AD130" i="3" s="1"/>
  <c r="K129" i="3"/>
  <c r="AD129" i="3" s="1"/>
  <c r="K128" i="3"/>
  <c r="AD128" i="3" s="1"/>
  <c r="K127" i="3"/>
  <c r="AD127" i="3" s="1"/>
  <c r="K126" i="3"/>
  <c r="AD126" i="3" s="1"/>
  <c r="Q103" i="3" l="1"/>
  <c r="Q104" i="3"/>
  <c r="Q102" i="3"/>
  <c r="Q100" i="3"/>
  <c r="Q94" i="3"/>
  <c r="Q95" i="3"/>
  <c r="Q96" i="3"/>
  <c r="Q97" i="3"/>
  <c r="Q98" i="3"/>
  <c r="Q99" i="3"/>
  <c r="Q93" i="3"/>
  <c r="Q87" i="3"/>
  <c r="Q88" i="3"/>
  <c r="Q89" i="3"/>
  <c r="Q90" i="3"/>
  <c r="Q86" i="3"/>
  <c r="K83" i="3" l="1"/>
  <c r="K84" i="3"/>
  <c r="K85" i="3"/>
  <c r="K82" i="3"/>
  <c r="K81" i="3"/>
  <c r="K80" i="3"/>
  <c r="K79" i="3"/>
  <c r="K78" i="3"/>
  <c r="K77" i="3"/>
  <c r="K76" i="3"/>
  <c r="K75" i="3"/>
  <c r="K74" i="3"/>
  <c r="L73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G40" i="3"/>
  <c r="K39" i="3"/>
  <c r="G39" i="3"/>
  <c r="K38" i="3"/>
  <c r="G38" i="3"/>
  <c r="K37" i="3"/>
  <c r="G37" i="3"/>
  <c r="K36" i="3"/>
  <c r="K35" i="3"/>
  <c r="K34" i="3"/>
  <c r="K33" i="3"/>
  <c r="K32" i="3"/>
  <c r="J32" i="3"/>
  <c r="K31" i="3"/>
  <c r="J31" i="3"/>
  <c r="K30" i="3"/>
  <c r="K29" i="3"/>
  <c r="K28" i="3"/>
  <c r="K27" i="3"/>
  <c r="K26" i="3"/>
  <c r="K25" i="3"/>
  <c r="K24" i="3"/>
  <c r="K23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I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3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 used the pipet tip to pull down extra. Doing that pulled down an extra 0.7-0.8g plasma. The wetting resistance forces from the weir are not to be ignored in the analysis.</t>
        </r>
      </text>
    </comment>
    <comment ref="O9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raw weights are written in my lab book for this day. This value is "g Disk" - 62.9855g</t>
        </r>
      </text>
    </comment>
    <comment ref="P9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difference between g_disk and g_wiped in my lab book</t>
        </r>
      </text>
    </comment>
    <comment ref="Q9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g_disk minus g_wiped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tc={94D3D405-6D9E-48D1-BC60-791250670112}</author>
    <author>Author</author>
    <author>tc={B9A802E2-A6A2-4D61-8276-3A2295C80CFB}</author>
    <author>tc={94B4E454-43E3-4240-9E75-4A35D37E58AD}</author>
  </authors>
  <commentList>
    <comment ref="X2" authorId="0" shapeId="0" xr:uid="{94D3D405-6D9E-48D1-BC60-791250670112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Imputed value: mean of controls for this day</t>
      </text>
    </comment>
    <comment ref="F11" authorId="1" shapeId="0" xr:uid="{6BE948FD-CE40-4A0D-87BA-07F0C07974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Did not grow BL21 on accident. Ryan had some fresh GFP</t>
        </r>
      </text>
    </comment>
    <comment ref="AD20" authorId="1" shapeId="0" xr:uid="{D9F4EE33-C540-46DD-B6EF-36CDD31C16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Control -3
Plasma -3</t>
        </r>
      </text>
    </comment>
    <comment ref="P31" authorId="1" shapeId="0" xr:uid="{7DB6850E-9F0E-4BA2-A6DF-FF1A7AECC3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 out of 16 droplets had too high of counts</t>
        </r>
      </text>
    </comment>
    <comment ref="T37" authorId="1" shapeId="0" xr:uid="{D750B8EC-DACA-4161-82B3-8BFBAAE7F5B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count was 323, but 4-5 of the 18 droplets had much higher counts than the others. This is the number of counts excluding those divided by 13/18</t>
        </r>
      </text>
    </comment>
    <comment ref="AD41" authorId="2" shapeId="0" xr:uid="{B9A802E2-A6A2-4D61-8276-3A2295C80CFB}">
      <text>
        <t>[Threaded comment]
Your version of Excel allows you to read this threaded comment; however, any edits to it will get removed if the file is opened in a newer version of Excel. Learn more: https://go.microsoft.com/fwlink/?linkid=870924
Comment:
    Plating error
Reply:
    Replated</t>
      </text>
    </comment>
    <comment ref="AD43" authorId="3" shapeId="0" xr:uid="{94B4E454-43E3-4240-9E75-4A35D37E58AD}">
      <text>
        <t>[Threaded comment]
Your version of Excel allows you to read this threaded comment; however, any edits to it will get removed if the file is opened in a newer version of Excel. Learn more: https://go.microsoft.com/fwlink/?linkid=870924
Comment:
    Plating error
Reply:
    Replated</t>
      </text>
    </comment>
    <comment ref="T52" authorId="1" shapeId="0" xr:uid="{D09F7FF4-7E11-4A0C-B57C-F63ED89FF6A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Replated.
Originals:
             -4       -5
control    252    34
plasma   250    41</t>
        </r>
      </text>
    </comment>
    <comment ref="T53" authorId="1" shapeId="0" xr:uid="{34611E8E-902E-4E4F-8F50-F416F08F5C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Replated.
Originals:
             -4       -5
control    316    44
plasma    48     26</t>
        </r>
      </text>
    </comment>
  </commentList>
</comments>
</file>

<file path=xl/sharedStrings.xml><?xml version="1.0" encoding="utf-8"?>
<sst xmlns="http://schemas.openxmlformats.org/spreadsheetml/2006/main" count="662" uniqueCount="72">
  <si>
    <t>Disk</t>
  </si>
  <si>
    <t>HCT</t>
  </si>
  <si>
    <t>Date</t>
  </si>
  <si>
    <t>Sex</t>
  </si>
  <si>
    <t>M</t>
  </si>
  <si>
    <t>HCT_plas</t>
  </si>
  <si>
    <t>gplas_tot</t>
  </si>
  <si>
    <t>Tube</t>
  </si>
  <si>
    <t>Plas_final</t>
  </si>
  <si>
    <t>Plas_initial</t>
  </si>
  <si>
    <t>CollectionDelaySeconds</t>
  </si>
  <si>
    <t>F</t>
  </si>
  <si>
    <t>Trough Volume</t>
  </si>
  <si>
    <t>g_trough</t>
  </si>
  <si>
    <t>g_wiped</t>
  </si>
  <si>
    <t>g_disk</t>
  </si>
  <si>
    <t>HCT_trough</t>
  </si>
  <si>
    <t>HCT_disk</t>
  </si>
  <si>
    <t>Donor</t>
  </si>
  <si>
    <t>A</t>
  </si>
  <si>
    <t>B</t>
  </si>
  <si>
    <t>control-5</t>
  </si>
  <si>
    <t>control-4</t>
  </si>
  <si>
    <t>control-3</t>
  </si>
  <si>
    <t>spin-3</t>
  </si>
  <si>
    <t>spin-4</t>
  </si>
  <si>
    <t>spin-5</t>
  </si>
  <si>
    <t>bac_recovery</t>
  </si>
  <si>
    <t>c_control-3</t>
  </si>
  <si>
    <t>c_control-4</t>
  </si>
  <si>
    <t>c_control-5</t>
  </si>
  <si>
    <t>c_spin-3</t>
  </si>
  <si>
    <t>c_spin-4</t>
  </si>
  <si>
    <t>c_spin-5</t>
  </si>
  <si>
    <t>20.05_8x3_1.25x7mm_glossy</t>
  </si>
  <si>
    <t>C</t>
  </si>
  <si>
    <t>D</t>
  </si>
  <si>
    <t>HCT_diluted</t>
  </si>
  <si>
    <t>Hold_time</t>
  </si>
  <si>
    <t>vol_wb</t>
  </si>
  <si>
    <t>vol_dilution</t>
  </si>
  <si>
    <t>Bacteria</t>
  </si>
  <si>
    <t>BL21</t>
  </si>
  <si>
    <t>GFP</t>
  </si>
  <si>
    <t>control-2</t>
  </si>
  <si>
    <t>c_control-2</t>
  </si>
  <si>
    <t>spin-2</t>
  </si>
  <si>
    <t>conc_recovery</t>
  </si>
  <si>
    <t>E</t>
  </si>
  <si>
    <t>ew</t>
  </si>
  <si>
    <t>ca</t>
  </si>
  <si>
    <t>plater</t>
  </si>
  <si>
    <t>rp</t>
  </si>
  <si>
    <t>16b</t>
  </si>
  <si>
    <t>20.05_16x3_peo</t>
  </si>
  <si>
    <t>20.05_16x3_3mL</t>
  </si>
  <si>
    <t>20.05_16x3_5mL</t>
  </si>
  <si>
    <t>20.05_8x3</t>
  </si>
  <si>
    <t>20.05_8x3long</t>
  </si>
  <si>
    <t>Moat</t>
  </si>
  <si>
    <t>20.05_8x3_0.75x9mm</t>
  </si>
  <si>
    <t>20.05_8x3_1.25x7mm</t>
  </si>
  <si>
    <t>Moat2</t>
  </si>
  <si>
    <t>20.05_8x3_1.25x9mm</t>
  </si>
  <si>
    <t>20.035_8x3_1.25x7mm</t>
  </si>
  <si>
    <t>base</t>
  </si>
  <si>
    <t>20.05_16x3</t>
  </si>
  <si>
    <t>matte_12H</t>
  </si>
  <si>
    <t>matte_70.05_16b</t>
  </si>
  <si>
    <t>matte_20.05</t>
  </si>
  <si>
    <t>matte_70.05</t>
  </si>
  <si>
    <t>matte_20.05_16b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</si>
</sst>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7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165" fontId="0" fillId="0" borderId="0" xfId="0" applyNumberFormat="1" applyFill="1"/>
    <xf numFmtId="164" fontId="0" fillId="0" borderId="1" xfId="0" applyNumberFormat="1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11" fontId="3" fillId="0" borderId="0" xfId="0" applyNumberFormat="1" applyFont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" fontId="0" fillId="3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left"/>
    </xf>
    <xf numFmtId="2" fontId="0" fillId="0" borderId="0" xfId="1" applyNumberFormat="1" applyFont="1" applyAlignment="1">
      <alignment horizontal="left"/>
    </xf>
    <xf numFmtId="0" fontId="6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2" dT="2019-05-16T20:17:32.13" personId="{00000000-0000-0000-0000-000000000000}" id="{94D3D405-6D9E-48D1-BC60-791250670112}">
    <text>Imputed value: mean of controls for this day</text>
  </threadedComment>
  <threadedComment ref="AD41" dT="2019-05-28T17:19:11.73" personId="{00000000-0000-0000-0000-000000000000}" id="{B9A802E2-A6A2-4D61-8276-3A2295C80CFB}">
    <text>Plating error</text>
  </threadedComment>
  <threadedComment ref="AD41" dT="2019-05-29T17:36:44.46" personId="{00000000-0000-0000-0000-000000000000}" id="{ADBDA91B-5C7B-4884-90AC-508E0C1E409C}" parentId="{B9A802E2-A6A2-4D61-8276-3A2295C80CFB}">
    <text>Replated</text>
  </threadedComment>
  <threadedComment ref="AD43" dT="2019-05-28T17:20:28.21" personId="{00000000-0000-0000-0000-000000000000}" id="{94B4E454-43E3-4240-9E75-4A35D37E58AD}">
    <text>Plating error</text>
  </threadedComment>
  <threadedComment ref="AD43" dT="2019-05-29T17:36:36.29" personId="{00000000-0000-0000-0000-000000000000}" id="{D4029B06-D3B1-497C-B48A-EC4FC70D3DED}" parentId="{94B4E454-43E3-4240-9E75-4A35D37E58AD}">
    <text>Replated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161"/>
  <sheetViews>
    <sheetView tabSelected="1" zoomScale="90" zoomScaleNormal="90" workbookViewId="0">
      <pane ySplit="1" topLeftCell="A44" activePane="bottomLeft" state="frozen"/>
      <selection pane="bottomLeft" activeCell="D12" sqref="D12"/>
    </sheetView>
  </sheetViews>
  <sheetFormatPr defaultRowHeight="14.4" x14ac:dyDescent="0.3"/>
  <cols>
    <col min="1" max="1" width="10.5546875" bestFit="1" customWidth="1"/>
    <col min="2" max="2" width="5.44140625" bestFit="1" customWidth="1"/>
    <col min="3" max="3" width="5.44140625" customWidth="1"/>
    <col min="4" max="4" width="27.77734375" customWidth="1"/>
    <col min="5" max="5" width="14.6640625" bestFit="1" customWidth="1"/>
    <col min="6" max="6" width="7.33203125" customWidth="1"/>
    <col min="7" max="10" width="8.88671875" style="4"/>
    <col min="11" max="11" width="8.88671875" style="8"/>
    <col min="12" max="12" width="8.88671875" style="7"/>
    <col min="13" max="14" width="9.109375" style="7"/>
    <col min="15" max="16" width="8.88671875" style="8"/>
    <col min="18" max="18" width="9.88671875" style="8" customWidth="1"/>
    <col min="24" max="29" width="10" customWidth="1"/>
  </cols>
  <sheetData>
    <row r="1" spans="1:30" x14ac:dyDescent="0.3">
      <c r="A1" t="s">
        <v>2</v>
      </c>
      <c r="B1" t="s">
        <v>7</v>
      </c>
      <c r="C1" t="s">
        <v>18</v>
      </c>
      <c r="D1" t="s">
        <v>0</v>
      </c>
      <c r="E1" t="s">
        <v>12</v>
      </c>
      <c r="F1" t="s">
        <v>3</v>
      </c>
      <c r="G1" s="3" t="s">
        <v>1</v>
      </c>
      <c r="H1" t="s">
        <v>10</v>
      </c>
      <c r="I1" t="s">
        <v>9</v>
      </c>
      <c r="J1" t="s">
        <v>8</v>
      </c>
      <c r="K1" t="s">
        <v>6</v>
      </c>
      <c r="L1" s="3" t="s">
        <v>5</v>
      </c>
      <c r="M1" s="3" t="s">
        <v>16</v>
      </c>
      <c r="N1" s="3" t="s">
        <v>17</v>
      </c>
      <c r="O1" s="3" t="s">
        <v>15</v>
      </c>
      <c r="P1" s="3" t="s">
        <v>14</v>
      </c>
      <c r="Q1" s="3" t="s">
        <v>13</v>
      </c>
      <c r="R1" s="8" t="s">
        <v>23</v>
      </c>
      <c r="S1" s="3" t="s">
        <v>22</v>
      </c>
      <c r="T1" s="3" t="s">
        <v>21</v>
      </c>
      <c r="U1" s="3" t="s">
        <v>24</v>
      </c>
      <c r="V1" s="3" t="s">
        <v>25</v>
      </c>
      <c r="W1" s="3" t="s">
        <v>26</v>
      </c>
      <c r="X1" s="3" t="s">
        <v>28</v>
      </c>
      <c r="Y1" s="3" t="s">
        <v>29</v>
      </c>
      <c r="Z1" s="3" t="s">
        <v>30</v>
      </c>
      <c r="AA1" s="3" t="s">
        <v>31</v>
      </c>
      <c r="AB1" s="3" t="s">
        <v>32</v>
      </c>
      <c r="AC1" s="3" t="s">
        <v>33</v>
      </c>
      <c r="AD1" t="s">
        <v>27</v>
      </c>
    </row>
    <row r="2" spans="1:30" x14ac:dyDescent="0.3">
      <c r="A2" s="1">
        <v>43242</v>
      </c>
      <c r="B2" s="3">
        <v>1</v>
      </c>
      <c r="C2" s="3"/>
      <c r="D2" t="s">
        <v>67</v>
      </c>
      <c r="E2">
        <v>4</v>
      </c>
      <c r="F2" t="s">
        <v>4</v>
      </c>
      <c r="G2" s="4">
        <v>0.48</v>
      </c>
      <c r="H2" s="4">
        <v>0</v>
      </c>
      <c r="I2" s="4">
        <v>0</v>
      </c>
      <c r="J2" s="4">
        <v>0</v>
      </c>
      <c r="K2" s="8">
        <v>4.0156999999999998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8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</row>
    <row r="3" spans="1:30" x14ac:dyDescent="0.3">
      <c r="A3" s="1">
        <v>43242</v>
      </c>
      <c r="B3" s="3">
        <v>2</v>
      </c>
      <c r="C3" s="3"/>
      <c r="D3" t="s">
        <v>67</v>
      </c>
      <c r="E3">
        <v>4</v>
      </c>
      <c r="F3" t="s">
        <v>4</v>
      </c>
      <c r="G3" s="4">
        <v>0.48</v>
      </c>
      <c r="K3" s="8">
        <v>3.9187999999999992</v>
      </c>
      <c r="O3" s="7"/>
      <c r="P3" s="7"/>
    </row>
    <row r="4" spans="1:30" x14ac:dyDescent="0.3">
      <c r="A4" s="1">
        <v>43242</v>
      </c>
      <c r="B4" s="3">
        <v>3</v>
      </c>
      <c r="C4" s="3"/>
      <c r="D4" t="s">
        <v>68</v>
      </c>
      <c r="E4">
        <v>4</v>
      </c>
      <c r="F4" t="s">
        <v>4</v>
      </c>
      <c r="G4" s="4">
        <v>0.48</v>
      </c>
      <c r="K4" s="8">
        <v>4.4285000000000005</v>
      </c>
      <c r="O4" s="7"/>
      <c r="P4" s="7"/>
    </row>
    <row r="5" spans="1:30" x14ac:dyDescent="0.3">
      <c r="A5" s="1">
        <v>43242</v>
      </c>
      <c r="B5" s="3">
        <v>4</v>
      </c>
      <c r="C5" s="3"/>
      <c r="D5" t="s">
        <v>68</v>
      </c>
      <c r="E5">
        <v>4</v>
      </c>
      <c r="F5" t="s">
        <v>4</v>
      </c>
      <c r="G5" s="4">
        <v>0.48</v>
      </c>
      <c r="K5" s="8">
        <v>4.8489000000000004</v>
      </c>
      <c r="O5" s="7"/>
      <c r="P5" s="7"/>
    </row>
    <row r="6" spans="1:30" x14ac:dyDescent="0.3">
      <c r="A6" s="1">
        <v>43242</v>
      </c>
      <c r="B6" s="3">
        <v>5</v>
      </c>
      <c r="C6" s="3"/>
      <c r="D6" t="s">
        <v>68</v>
      </c>
      <c r="E6">
        <v>4</v>
      </c>
      <c r="F6" t="s">
        <v>4</v>
      </c>
      <c r="G6" s="4">
        <v>0.48</v>
      </c>
      <c r="K6" s="8">
        <v>3.5714999999999995</v>
      </c>
      <c r="O6" s="7"/>
      <c r="P6" s="7"/>
    </row>
    <row r="7" spans="1:30" x14ac:dyDescent="0.3">
      <c r="A7" s="1">
        <v>43242</v>
      </c>
      <c r="B7" s="3">
        <v>6</v>
      </c>
      <c r="C7" s="3"/>
      <c r="D7" t="s">
        <v>68</v>
      </c>
      <c r="E7">
        <v>4</v>
      </c>
      <c r="F7" t="s">
        <v>4</v>
      </c>
      <c r="G7" s="4">
        <v>0.48</v>
      </c>
      <c r="K7" s="8">
        <v>4.0186999999999991</v>
      </c>
      <c r="O7" s="7"/>
      <c r="P7" s="7"/>
    </row>
    <row r="8" spans="1:30" x14ac:dyDescent="0.3">
      <c r="A8" s="1">
        <v>43258</v>
      </c>
      <c r="B8" s="3">
        <v>1</v>
      </c>
      <c r="C8" s="3"/>
      <c r="D8" t="s">
        <v>69</v>
      </c>
      <c r="E8">
        <v>4</v>
      </c>
      <c r="F8" t="s">
        <v>4</v>
      </c>
      <c r="G8" s="4">
        <v>0.49</v>
      </c>
      <c r="H8" s="4">
        <v>60</v>
      </c>
      <c r="I8" s="4">
        <f>J8</f>
        <v>3.0890000000000004</v>
      </c>
      <c r="J8" s="4">
        <v>3.0890000000000004</v>
      </c>
      <c r="K8" s="10">
        <f>J8</f>
        <v>3.0890000000000004</v>
      </c>
      <c r="L8" s="7">
        <v>2.7000000000000003E-2</v>
      </c>
      <c r="O8" s="7"/>
      <c r="P8" s="7"/>
    </row>
    <row r="9" spans="1:30" x14ac:dyDescent="0.3">
      <c r="A9" s="1">
        <v>43258</v>
      </c>
      <c r="B9" s="3">
        <v>2</v>
      </c>
      <c r="C9" s="3"/>
      <c r="D9" t="s">
        <v>70</v>
      </c>
      <c r="E9">
        <v>4</v>
      </c>
      <c r="F9" t="s">
        <v>4</v>
      </c>
      <c r="G9" s="4">
        <v>0.49</v>
      </c>
      <c r="H9" s="4">
        <v>60</v>
      </c>
      <c r="I9" s="6">
        <v>2.4636857142857149</v>
      </c>
      <c r="J9" s="5">
        <v>0.6169999999999991</v>
      </c>
      <c r="K9" s="10">
        <f>J9+I9</f>
        <v>3.080685714285714</v>
      </c>
      <c r="L9" s="7">
        <v>3.1850000000000003E-2</v>
      </c>
      <c r="O9" s="7"/>
      <c r="P9" s="7"/>
    </row>
    <row r="10" spans="1:30" x14ac:dyDescent="0.3">
      <c r="A10" s="1">
        <v>43258</v>
      </c>
      <c r="B10" s="3">
        <v>3</v>
      </c>
      <c r="C10" s="3"/>
      <c r="D10" t="s">
        <v>70</v>
      </c>
      <c r="E10">
        <v>4</v>
      </c>
      <c r="F10" t="s">
        <v>4</v>
      </c>
      <c r="G10" s="4">
        <v>0.49</v>
      </c>
      <c r="H10" s="4">
        <v>60</v>
      </c>
      <c r="I10" s="4">
        <v>2.1307000000000009</v>
      </c>
      <c r="J10" s="4">
        <v>0.81859999999999999</v>
      </c>
      <c r="K10" s="10">
        <f t="shared" ref="K10:K21" si="0">J10+I10</f>
        <v>2.9493000000000009</v>
      </c>
      <c r="L10" s="7">
        <v>3.8099999999999995E-2</v>
      </c>
      <c r="O10" s="7"/>
      <c r="P10" s="7"/>
    </row>
    <row r="11" spans="1:30" x14ac:dyDescent="0.3">
      <c r="A11" s="1">
        <v>43258</v>
      </c>
      <c r="B11" s="3">
        <v>4</v>
      </c>
      <c r="C11" s="3"/>
      <c r="D11" t="s">
        <v>70</v>
      </c>
      <c r="E11">
        <v>4</v>
      </c>
      <c r="F11" t="s">
        <v>4</v>
      </c>
      <c r="G11" s="4">
        <v>0.49</v>
      </c>
      <c r="H11" s="4">
        <v>60</v>
      </c>
      <c r="I11" s="4">
        <v>3.2942</v>
      </c>
      <c r="J11" s="4">
        <v>0.50120000000000076</v>
      </c>
      <c r="K11" s="10">
        <f t="shared" si="0"/>
        <v>3.7954000000000008</v>
      </c>
      <c r="L11" s="7">
        <v>3.8949999999999999E-2</v>
      </c>
      <c r="O11" s="7"/>
      <c r="P11" s="7"/>
    </row>
    <row r="12" spans="1:30" x14ac:dyDescent="0.3">
      <c r="A12" s="1">
        <v>43258</v>
      </c>
      <c r="B12" s="3">
        <v>5</v>
      </c>
      <c r="C12" s="3"/>
      <c r="D12" t="s">
        <v>69</v>
      </c>
      <c r="E12">
        <v>4</v>
      </c>
      <c r="F12" t="s">
        <v>4</v>
      </c>
      <c r="G12" s="4">
        <v>0.49</v>
      </c>
      <c r="H12" s="4">
        <v>60</v>
      </c>
      <c r="I12" s="4">
        <v>3.2371999999999996</v>
      </c>
      <c r="J12" s="4">
        <v>8.4699999999999775E-2</v>
      </c>
      <c r="K12" s="10">
        <f t="shared" si="0"/>
        <v>3.3218999999999994</v>
      </c>
      <c r="L12" s="7">
        <v>3.0699999999999998E-2</v>
      </c>
      <c r="O12" s="7"/>
      <c r="P12" s="7"/>
    </row>
    <row r="13" spans="1:30" x14ac:dyDescent="0.3">
      <c r="A13" s="1">
        <v>43258</v>
      </c>
      <c r="B13" s="3">
        <v>6</v>
      </c>
      <c r="C13" s="3"/>
      <c r="D13" t="s">
        <v>69</v>
      </c>
      <c r="E13">
        <v>4</v>
      </c>
      <c r="F13" t="s">
        <v>4</v>
      </c>
      <c r="G13" s="4">
        <v>0.49</v>
      </c>
      <c r="H13" s="4">
        <v>60</v>
      </c>
      <c r="I13" s="4">
        <v>3.2792000000000003</v>
      </c>
      <c r="J13" s="4">
        <v>0.15199999999999925</v>
      </c>
      <c r="K13" s="10">
        <f t="shared" si="0"/>
        <v>3.4311999999999996</v>
      </c>
      <c r="L13" s="7">
        <v>3.7900000000000003E-2</v>
      </c>
      <c r="O13" s="7"/>
      <c r="P13" s="7"/>
    </row>
    <row r="14" spans="1:30" x14ac:dyDescent="0.3">
      <c r="A14" s="1">
        <v>43258</v>
      </c>
      <c r="B14" s="3">
        <v>7</v>
      </c>
      <c r="C14" s="3"/>
      <c r="D14" t="s">
        <v>69</v>
      </c>
      <c r="E14">
        <v>4</v>
      </c>
      <c r="F14" t="s">
        <v>4</v>
      </c>
      <c r="G14" s="4">
        <v>0.49</v>
      </c>
      <c r="H14" s="4">
        <v>60</v>
      </c>
      <c r="I14" s="4">
        <v>3.5134999999999996</v>
      </c>
      <c r="J14" s="4">
        <v>0.21950000000000003</v>
      </c>
      <c r="K14" s="10">
        <f t="shared" si="0"/>
        <v>3.7329999999999997</v>
      </c>
      <c r="L14" s="7">
        <v>6.1500000000000006E-2</v>
      </c>
      <c r="O14" s="7"/>
      <c r="P14" s="7"/>
    </row>
    <row r="15" spans="1:30" x14ac:dyDescent="0.3">
      <c r="A15" s="1">
        <v>43258</v>
      </c>
      <c r="B15" s="3">
        <v>8</v>
      </c>
      <c r="C15" s="3"/>
      <c r="D15" t="s">
        <v>70</v>
      </c>
      <c r="E15">
        <v>4</v>
      </c>
      <c r="F15" t="s">
        <v>4</v>
      </c>
      <c r="G15" s="4">
        <v>0.49</v>
      </c>
      <c r="H15" s="4">
        <v>60</v>
      </c>
      <c r="I15" s="4">
        <v>3.7808999999999999</v>
      </c>
      <c r="J15" s="4">
        <v>0.12410000000000032</v>
      </c>
      <c r="K15" s="10">
        <f t="shared" si="0"/>
        <v>3.9050000000000002</v>
      </c>
      <c r="L15" s="7">
        <v>4.4399999999999995E-2</v>
      </c>
      <c r="O15" s="7"/>
      <c r="P15" s="7"/>
    </row>
    <row r="16" spans="1:30" x14ac:dyDescent="0.3">
      <c r="A16" s="1">
        <v>43264</v>
      </c>
      <c r="B16" s="3">
        <v>1</v>
      </c>
      <c r="C16" s="3"/>
      <c r="D16" t="s">
        <v>70</v>
      </c>
      <c r="E16">
        <v>4</v>
      </c>
      <c r="F16" t="s">
        <v>4</v>
      </c>
      <c r="H16" s="4">
        <v>30</v>
      </c>
      <c r="I16" s="4">
        <v>3.0929000000000002</v>
      </c>
      <c r="J16" s="4">
        <v>4.9500000000000099E-2</v>
      </c>
      <c r="K16" s="10">
        <f t="shared" si="0"/>
        <v>3.1424000000000003</v>
      </c>
      <c r="O16" s="7"/>
      <c r="P16" s="7"/>
    </row>
    <row r="17" spans="1:16" x14ac:dyDescent="0.3">
      <c r="A17" s="1">
        <v>43264</v>
      </c>
      <c r="B17" s="3">
        <v>2</v>
      </c>
      <c r="C17" s="3"/>
      <c r="D17" t="s">
        <v>70</v>
      </c>
      <c r="E17">
        <v>4</v>
      </c>
      <c r="F17" t="s">
        <v>4</v>
      </c>
      <c r="H17" s="4">
        <v>30</v>
      </c>
      <c r="I17" s="4">
        <v>3.5048000000000004</v>
      </c>
      <c r="J17" s="4">
        <v>0.3642000000000003</v>
      </c>
      <c r="K17" s="10">
        <f t="shared" si="0"/>
        <v>3.8690000000000007</v>
      </c>
      <c r="O17" s="7"/>
      <c r="P17" s="7"/>
    </row>
    <row r="18" spans="1:16" x14ac:dyDescent="0.3">
      <c r="A18" s="1">
        <v>43264</v>
      </c>
      <c r="B18" s="2">
        <v>3</v>
      </c>
      <c r="C18" s="2"/>
      <c r="D18" t="s">
        <v>70</v>
      </c>
      <c r="E18">
        <v>4</v>
      </c>
      <c r="F18" t="s">
        <v>4</v>
      </c>
      <c r="H18" s="4">
        <v>30</v>
      </c>
      <c r="I18" s="4">
        <v>1.5942999999999996</v>
      </c>
      <c r="J18" s="4">
        <v>0.12849999999999984</v>
      </c>
      <c r="K18" s="10">
        <f t="shared" si="0"/>
        <v>1.7227999999999994</v>
      </c>
      <c r="O18" s="7"/>
      <c r="P18" s="7"/>
    </row>
    <row r="19" spans="1:16" x14ac:dyDescent="0.3">
      <c r="A19" s="1">
        <v>43264</v>
      </c>
      <c r="B19" s="2">
        <v>4</v>
      </c>
      <c r="C19" s="2"/>
      <c r="D19" t="s">
        <v>67</v>
      </c>
      <c r="E19">
        <v>4</v>
      </c>
      <c r="F19" t="s">
        <v>4</v>
      </c>
      <c r="H19" s="4">
        <v>30</v>
      </c>
      <c r="I19" s="4">
        <v>4.2109999999999994</v>
      </c>
      <c r="J19" s="5">
        <v>0.28710000000000058</v>
      </c>
      <c r="K19" s="10">
        <f t="shared" si="0"/>
        <v>4.4981</v>
      </c>
      <c r="O19" s="7"/>
      <c r="P19" s="7"/>
    </row>
    <row r="20" spans="1:16" x14ac:dyDescent="0.3">
      <c r="A20" s="1">
        <v>43264</v>
      </c>
      <c r="B20" s="2">
        <v>5</v>
      </c>
      <c r="C20" s="2"/>
      <c r="D20" t="s">
        <v>69</v>
      </c>
      <c r="E20">
        <v>4</v>
      </c>
      <c r="F20" t="s">
        <v>4</v>
      </c>
      <c r="H20" s="4">
        <v>30</v>
      </c>
      <c r="I20" s="4">
        <v>3.2352999999999996</v>
      </c>
      <c r="J20" s="4">
        <v>0.58030000000000115</v>
      </c>
      <c r="K20" s="10">
        <f t="shared" si="0"/>
        <v>3.8156000000000008</v>
      </c>
      <c r="L20" s="9"/>
      <c r="M20" s="9"/>
      <c r="N20" s="9"/>
      <c r="O20" s="7"/>
      <c r="P20" s="7"/>
    </row>
    <row r="21" spans="1:16" x14ac:dyDescent="0.3">
      <c r="A21" s="1">
        <v>43264</v>
      </c>
      <c r="B21" s="2">
        <v>6</v>
      </c>
      <c r="C21" s="2"/>
      <c r="D21" t="s">
        <v>70</v>
      </c>
      <c r="E21">
        <v>4</v>
      </c>
      <c r="F21" t="s">
        <v>4</v>
      </c>
      <c r="H21" s="4">
        <v>30</v>
      </c>
      <c r="I21" s="4">
        <v>3.1165000000000003</v>
      </c>
      <c r="J21" s="4">
        <v>0.7524999999999995</v>
      </c>
      <c r="K21" s="10">
        <f t="shared" si="0"/>
        <v>3.8689999999999998</v>
      </c>
      <c r="O21" s="7"/>
      <c r="P21" s="7"/>
    </row>
    <row r="22" spans="1:16" x14ac:dyDescent="0.3">
      <c r="A22" s="1">
        <v>43293</v>
      </c>
      <c r="B22" s="2">
        <v>1</v>
      </c>
      <c r="C22" s="2"/>
      <c r="D22" t="s">
        <v>68</v>
      </c>
      <c r="E22">
        <v>4</v>
      </c>
      <c r="F22" t="s">
        <v>11</v>
      </c>
      <c r="G22" s="4">
        <v>0.375</v>
      </c>
      <c r="K22" s="8">
        <v>4.2569999999999997</v>
      </c>
      <c r="O22" s="7"/>
      <c r="P22" s="7"/>
    </row>
    <row r="23" spans="1:16" x14ac:dyDescent="0.3">
      <c r="A23" s="1">
        <v>43298</v>
      </c>
      <c r="B23" s="2">
        <v>1</v>
      </c>
      <c r="C23" s="2"/>
      <c r="D23" t="s">
        <v>53</v>
      </c>
      <c r="E23">
        <v>4</v>
      </c>
      <c r="F23" t="s">
        <v>11</v>
      </c>
      <c r="G23" s="4">
        <v>0.47</v>
      </c>
      <c r="K23" s="10">
        <f>7.4768-3.277</f>
        <v>4.1997999999999998</v>
      </c>
      <c r="L23" s="7">
        <v>0.02</v>
      </c>
      <c r="O23" s="7"/>
      <c r="P23" s="7"/>
    </row>
    <row r="24" spans="1:16" x14ac:dyDescent="0.3">
      <c r="A24" s="1">
        <v>43298</v>
      </c>
      <c r="B24" s="2">
        <v>2</v>
      </c>
      <c r="C24" s="2"/>
      <c r="D24" t="s">
        <v>53</v>
      </c>
      <c r="E24">
        <v>4</v>
      </c>
      <c r="F24" t="s">
        <v>11</v>
      </c>
      <c r="G24" s="4">
        <v>0.47</v>
      </c>
      <c r="K24" s="10">
        <f>7.5523-3.2415</f>
        <v>4.3108000000000004</v>
      </c>
      <c r="L24" s="7">
        <v>1.9E-2</v>
      </c>
      <c r="O24" s="7"/>
      <c r="P24" s="7"/>
    </row>
    <row r="25" spans="1:16" x14ac:dyDescent="0.3">
      <c r="A25" s="1">
        <v>43298</v>
      </c>
      <c r="B25" s="2">
        <v>3</v>
      </c>
      <c r="C25" s="2"/>
      <c r="D25" t="s">
        <v>53</v>
      </c>
      <c r="E25">
        <v>4</v>
      </c>
      <c r="F25" t="s">
        <v>11</v>
      </c>
      <c r="G25" s="4">
        <v>0.47</v>
      </c>
      <c r="K25" s="8">
        <f>7.551-3.211</f>
        <v>4.34</v>
      </c>
      <c r="L25" s="7">
        <v>0.03</v>
      </c>
      <c r="O25" s="7"/>
      <c r="P25" s="7"/>
    </row>
    <row r="26" spans="1:16" x14ac:dyDescent="0.3">
      <c r="A26" s="1">
        <v>43298</v>
      </c>
      <c r="B26" s="2">
        <v>4</v>
      </c>
      <c r="C26" s="2"/>
      <c r="D26" t="s">
        <v>53</v>
      </c>
      <c r="E26">
        <v>4</v>
      </c>
      <c r="F26" t="s">
        <v>11</v>
      </c>
      <c r="G26" s="4">
        <v>0.47</v>
      </c>
      <c r="K26" s="8">
        <f>7.2486-3.2521</f>
        <v>3.9964999999999997</v>
      </c>
      <c r="L26" s="7">
        <v>2.5000000000000001E-2</v>
      </c>
      <c r="O26" s="7"/>
      <c r="P26" s="7"/>
    </row>
    <row r="27" spans="1:16" x14ac:dyDescent="0.3">
      <c r="A27" s="1">
        <v>43298</v>
      </c>
      <c r="B27" s="2">
        <v>6</v>
      </c>
      <c r="C27" s="2"/>
      <c r="D27" t="s">
        <v>53</v>
      </c>
      <c r="E27">
        <v>4</v>
      </c>
      <c r="F27" t="s">
        <v>11</v>
      </c>
      <c r="G27" s="4">
        <v>0.47</v>
      </c>
      <c r="J27" s="5"/>
      <c r="K27" s="8">
        <f>7.2572-3.1967</f>
        <v>4.0605000000000002</v>
      </c>
      <c r="L27" s="7">
        <v>0.03</v>
      </c>
      <c r="O27" s="7"/>
      <c r="P27" s="7"/>
    </row>
    <row r="28" spans="1:16" x14ac:dyDescent="0.3">
      <c r="A28" s="1">
        <v>43298</v>
      </c>
      <c r="B28" s="2">
        <v>7</v>
      </c>
      <c r="C28" s="2"/>
      <c r="D28" t="s">
        <v>53</v>
      </c>
      <c r="E28">
        <v>4</v>
      </c>
      <c r="F28" t="s">
        <v>11</v>
      </c>
      <c r="G28" s="4">
        <v>0.47</v>
      </c>
      <c r="K28" s="8">
        <f>7.1968-3.1967</f>
        <v>4.0000999999999998</v>
      </c>
      <c r="L28" s="7">
        <v>2.5000000000000001E-2</v>
      </c>
      <c r="O28" s="7"/>
      <c r="P28" s="7"/>
    </row>
    <row r="29" spans="1:16" x14ac:dyDescent="0.3">
      <c r="A29" s="1">
        <v>43305</v>
      </c>
      <c r="B29" s="2">
        <v>1</v>
      </c>
      <c r="C29" s="2"/>
      <c r="D29" t="s">
        <v>68</v>
      </c>
      <c r="E29">
        <v>4</v>
      </c>
      <c r="F29" t="s">
        <v>4</v>
      </c>
      <c r="G29" s="4">
        <v>0.51700000000000002</v>
      </c>
      <c r="K29" s="8">
        <f>6.3862-3.1917</f>
        <v>3.1944999999999997</v>
      </c>
      <c r="L29" s="7">
        <v>0.03</v>
      </c>
      <c r="O29" s="7"/>
      <c r="P29" s="7"/>
    </row>
    <row r="30" spans="1:16" x14ac:dyDescent="0.3">
      <c r="A30" s="1">
        <v>43305</v>
      </c>
      <c r="B30" s="2">
        <v>2</v>
      </c>
      <c r="C30" s="2"/>
      <c r="D30" t="s">
        <v>71</v>
      </c>
      <c r="E30">
        <v>4</v>
      </c>
      <c r="F30" t="s">
        <v>4</v>
      </c>
      <c r="G30" s="4">
        <v>0.51700000000000002</v>
      </c>
      <c r="K30" s="8">
        <f>6.6819-3.2412</f>
        <v>3.4406999999999996</v>
      </c>
      <c r="L30" s="7">
        <v>0.06</v>
      </c>
      <c r="O30" s="7"/>
      <c r="P30" s="7"/>
    </row>
    <row r="31" spans="1:16" x14ac:dyDescent="0.3">
      <c r="A31" s="1">
        <v>43305</v>
      </c>
      <c r="B31" s="2">
        <v>3</v>
      </c>
      <c r="C31" s="2"/>
      <c r="D31" t="s">
        <v>68</v>
      </c>
      <c r="E31">
        <v>4</v>
      </c>
      <c r="F31" t="s">
        <v>4</v>
      </c>
      <c r="G31" s="4">
        <v>0.51700000000000002</v>
      </c>
      <c r="J31" s="4">
        <f>6.8216-3.2054</f>
        <v>3.6162000000000001</v>
      </c>
      <c r="K31" s="8">
        <f>6.1269-3.2054</f>
        <v>2.9215</v>
      </c>
      <c r="L31" s="7">
        <v>0.06</v>
      </c>
      <c r="O31" s="7"/>
      <c r="P31" s="7"/>
    </row>
    <row r="32" spans="1:16" x14ac:dyDescent="0.3">
      <c r="A32" s="1">
        <v>43305</v>
      </c>
      <c r="B32" s="2">
        <v>4</v>
      </c>
      <c r="C32" s="2"/>
      <c r="D32" t="s">
        <v>68</v>
      </c>
      <c r="E32">
        <v>4</v>
      </c>
      <c r="F32" t="s">
        <v>4</v>
      </c>
      <c r="G32" s="4">
        <v>0.51700000000000002</v>
      </c>
      <c r="J32" s="4">
        <f>7.004-3.231</f>
        <v>3.7729999999999997</v>
      </c>
      <c r="K32" s="8">
        <f>6.1418-3.231</f>
        <v>2.9108000000000001</v>
      </c>
      <c r="L32" s="7">
        <v>9.5000000000000001E-2</v>
      </c>
      <c r="O32" s="7"/>
      <c r="P32" s="7"/>
    </row>
    <row r="33" spans="1:16" x14ac:dyDescent="0.3">
      <c r="A33" s="1">
        <v>43305</v>
      </c>
      <c r="B33" s="2">
        <v>5</v>
      </c>
      <c r="C33" s="2"/>
      <c r="D33" t="s">
        <v>68</v>
      </c>
      <c r="E33">
        <v>4</v>
      </c>
      <c r="F33" t="s">
        <v>4</v>
      </c>
      <c r="G33" s="4">
        <v>0.51700000000000002</v>
      </c>
      <c r="K33" s="8">
        <f>6.844-3.254</f>
        <v>3.5900000000000003</v>
      </c>
      <c r="L33" s="7">
        <v>0.05</v>
      </c>
      <c r="O33" s="7"/>
      <c r="P33" s="7"/>
    </row>
    <row r="34" spans="1:16" x14ac:dyDescent="0.3">
      <c r="A34" s="1">
        <v>43305</v>
      </c>
      <c r="B34" s="2">
        <v>6</v>
      </c>
      <c r="C34" s="2"/>
      <c r="D34" t="s">
        <v>68</v>
      </c>
      <c r="E34">
        <v>4</v>
      </c>
      <c r="F34" t="s">
        <v>4</v>
      </c>
      <c r="G34" s="4">
        <v>0.51700000000000002</v>
      </c>
      <c r="K34" s="8">
        <f>6.6718-3.2044</f>
        <v>3.4674</v>
      </c>
      <c r="L34" s="7">
        <v>7.0000000000000007E-2</v>
      </c>
      <c r="O34" s="7"/>
      <c r="P34" s="7"/>
    </row>
    <row r="35" spans="1:16" x14ac:dyDescent="0.3">
      <c r="A35" s="1">
        <v>43305</v>
      </c>
      <c r="B35" s="2">
        <v>7</v>
      </c>
      <c r="C35" s="2"/>
      <c r="D35" t="s">
        <v>68</v>
      </c>
      <c r="E35">
        <v>4</v>
      </c>
      <c r="F35" t="s">
        <v>4</v>
      </c>
      <c r="G35" s="4">
        <v>0.51700000000000002</v>
      </c>
      <c r="K35" s="8">
        <f>7.505-3.2453</f>
        <v>4.2597000000000005</v>
      </c>
      <c r="L35" s="7">
        <v>0.123</v>
      </c>
      <c r="O35" s="7"/>
      <c r="P35" s="7"/>
    </row>
    <row r="36" spans="1:16" x14ac:dyDescent="0.3">
      <c r="A36" s="1">
        <v>43305</v>
      </c>
      <c r="B36" s="2">
        <v>8</v>
      </c>
      <c r="C36" s="2"/>
      <c r="D36" t="s">
        <v>68</v>
      </c>
      <c r="E36">
        <v>4</v>
      </c>
      <c r="F36" t="s">
        <v>4</v>
      </c>
      <c r="G36" s="4">
        <v>0.51700000000000002</v>
      </c>
      <c r="K36" s="8">
        <f>7.2492-3.1983</f>
        <v>4.0509000000000004</v>
      </c>
      <c r="L36" s="7">
        <v>0.105</v>
      </c>
      <c r="O36" s="7"/>
      <c r="P36" s="7"/>
    </row>
    <row r="37" spans="1:16" x14ac:dyDescent="0.3">
      <c r="A37" s="1">
        <v>43307</v>
      </c>
      <c r="B37" s="2">
        <v>1</v>
      </c>
      <c r="C37" s="2"/>
      <c r="D37" t="s">
        <v>71</v>
      </c>
      <c r="E37">
        <v>4</v>
      </c>
      <c r="F37" t="s">
        <v>4</v>
      </c>
      <c r="G37" s="4">
        <f>0.4925</f>
        <v>0.49249999999999999</v>
      </c>
      <c r="K37" s="8">
        <f>7.5334-3.2795</f>
        <v>4.2538999999999998</v>
      </c>
      <c r="L37" s="7">
        <v>9.5000000000000001E-2</v>
      </c>
      <c r="O37" s="7"/>
      <c r="P37" s="7"/>
    </row>
    <row r="38" spans="1:16" x14ac:dyDescent="0.3">
      <c r="A38" s="1">
        <v>43307</v>
      </c>
      <c r="B38" s="2">
        <v>2</v>
      </c>
      <c r="C38" s="2"/>
      <c r="D38" t="s">
        <v>53</v>
      </c>
      <c r="E38">
        <v>4</v>
      </c>
      <c r="F38" t="s">
        <v>4</v>
      </c>
      <c r="G38" s="4">
        <f t="shared" ref="G38:G40" si="1">0.4925</f>
        <v>0.49249999999999999</v>
      </c>
      <c r="K38" s="8">
        <f>7.0615-3.1941</f>
        <v>3.8673999999999995</v>
      </c>
      <c r="L38" s="7">
        <v>4.2000000000000003E-2</v>
      </c>
      <c r="O38" s="7"/>
      <c r="P38" s="7"/>
    </row>
    <row r="39" spans="1:16" x14ac:dyDescent="0.3">
      <c r="A39" s="1">
        <v>43307</v>
      </c>
      <c r="B39" s="2">
        <v>3</v>
      </c>
      <c r="C39" s="2"/>
      <c r="D39" t="s">
        <v>53</v>
      </c>
      <c r="E39">
        <v>4</v>
      </c>
      <c r="F39" t="s">
        <v>4</v>
      </c>
      <c r="G39" s="4">
        <f t="shared" si="1"/>
        <v>0.49249999999999999</v>
      </c>
      <c r="K39" s="8">
        <f>7.3025-3.2069</f>
        <v>4.0956000000000001</v>
      </c>
      <c r="L39" s="7">
        <v>0.06</v>
      </c>
      <c r="O39" s="7"/>
      <c r="P39" s="7"/>
    </row>
    <row r="40" spans="1:16" x14ac:dyDescent="0.3">
      <c r="A40" s="1">
        <v>43307</v>
      </c>
      <c r="B40" s="2">
        <v>4</v>
      </c>
      <c r="C40" s="2"/>
      <c r="D40" t="s">
        <v>53</v>
      </c>
      <c r="E40">
        <v>4</v>
      </c>
      <c r="F40" t="s">
        <v>4</v>
      </c>
      <c r="G40" s="4">
        <f t="shared" si="1"/>
        <v>0.49249999999999999</v>
      </c>
      <c r="K40" s="8">
        <f>7.4356-3.2144</f>
        <v>4.2211999999999996</v>
      </c>
      <c r="L40" s="7">
        <v>5.5E-2</v>
      </c>
      <c r="O40" s="7"/>
      <c r="P40" s="7"/>
    </row>
    <row r="41" spans="1:16" x14ac:dyDescent="0.3">
      <c r="A41" s="1">
        <v>43312</v>
      </c>
      <c r="B41" s="2">
        <v>1</v>
      </c>
      <c r="C41" s="2"/>
      <c r="D41" t="s">
        <v>65</v>
      </c>
      <c r="E41">
        <v>4</v>
      </c>
      <c r="F41" t="s">
        <v>4</v>
      </c>
      <c r="G41" s="4">
        <v>0.46250000000000002</v>
      </c>
      <c r="K41" s="8">
        <f>6.7777-3.218</f>
        <v>3.5597000000000003</v>
      </c>
      <c r="L41" s="7">
        <v>0</v>
      </c>
      <c r="O41" s="7"/>
      <c r="P41" s="7"/>
    </row>
    <row r="42" spans="1:16" x14ac:dyDescent="0.3">
      <c r="A42" s="1">
        <v>43312</v>
      </c>
      <c r="B42" s="2">
        <v>2</v>
      </c>
      <c r="C42" s="2"/>
      <c r="D42" t="s">
        <v>65</v>
      </c>
      <c r="E42">
        <v>4</v>
      </c>
      <c r="F42" t="s">
        <v>4</v>
      </c>
      <c r="G42" s="4">
        <v>0.46250000000000002</v>
      </c>
      <c r="K42" s="8">
        <f>6.8167-3.2292</f>
        <v>3.5874999999999999</v>
      </c>
      <c r="L42" s="7">
        <v>1E-4</v>
      </c>
      <c r="O42" s="7"/>
      <c r="P42" s="7"/>
    </row>
    <row r="43" spans="1:16" x14ac:dyDescent="0.3">
      <c r="A43" s="1">
        <v>43312</v>
      </c>
      <c r="B43" s="2">
        <v>3</v>
      </c>
      <c r="C43" s="2"/>
      <c r="D43" t="s">
        <v>65</v>
      </c>
      <c r="E43">
        <v>4</v>
      </c>
      <c r="F43" t="s">
        <v>4</v>
      </c>
      <c r="G43" s="4">
        <v>0.46250000000000002</v>
      </c>
      <c r="K43" s="8">
        <f>6.6962-3.1892</f>
        <v>3.5070000000000001</v>
      </c>
      <c r="L43" s="7">
        <v>0</v>
      </c>
      <c r="O43" s="7"/>
      <c r="P43" s="7"/>
    </row>
    <row r="44" spans="1:16" x14ac:dyDescent="0.3">
      <c r="A44" s="1">
        <v>43312</v>
      </c>
      <c r="B44" s="2">
        <v>4</v>
      </c>
      <c r="C44" s="2"/>
      <c r="D44" t="s">
        <v>65</v>
      </c>
      <c r="E44">
        <v>4</v>
      </c>
      <c r="F44" t="s">
        <v>4</v>
      </c>
      <c r="G44" s="4">
        <v>0.46250000000000002</v>
      </c>
      <c r="K44" s="8">
        <f>6.5128-3.235</f>
        <v>3.2778000000000005</v>
      </c>
      <c r="L44" s="7">
        <v>0</v>
      </c>
      <c r="O44" s="7"/>
      <c r="P44" s="7"/>
    </row>
    <row r="45" spans="1:16" x14ac:dyDescent="0.3">
      <c r="A45" s="1">
        <v>43312</v>
      </c>
      <c r="B45" s="2">
        <v>5</v>
      </c>
      <c r="C45" s="2"/>
      <c r="D45" t="s">
        <v>65</v>
      </c>
      <c r="E45">
        <v>4</v>
      </c>
      <c r="F45" t="s">
        <v>4</v>
      </c>
      <c r="G45" s="4">
        <v>0.46250000000000002</v>
      </c>
      <c r="K45" s="8">
        <f>6.7335-3.2202</f>
        <v>3.5133000000000001</v>
      </c>
      <c r="L45" s="7">
        <v>0</v>
      </c>
      <c r="O45" s="7"/>
      <c r="P45" s="7"/>
    </row>
    <row r="46" spans="1:16" x14ac:dyDescent="0.3">
      <c r="A46" s="1">
        <v>43312</v>
      </c>
      <c r="B46" s="2">
        <v>6</v>
      </c>
      <c r="C46" s="2"/>
      <c r="D46" t="s">
        <v>65</v>
      </c>
      <c r="E46">
        <v>4</v>
      </c>
      <c r="F46" t="s">
        <v>4</v>
      </c>
      <c r="G46" s="4">
        <v>0.46250000000000002</v>
      </c>
      <c r="K46" s="8">
        <f>6.5671-3.2961</f>
        <v>3.2709999999999999</v>
      </c>
      <c r="L46" s="7">
        <v>0</v>
      </c>
      <c r="O46" s="7"/>
      <c r="P46" s="7"/>
    </row>
    <row r="47" spans="1:16" x14ac:dyDescent="0.3">
      <c r="A47" s="1">
        <v>43312</v>
      </c>
      <c r="B47" s="2">
        <v>7</v>
      </c>
      <c r="C47" s="2"/>
      <c r="D47" t="s">
        <v>65</v>
      </c>
      <c r="E47">
        <v>4</v>
      </c>
      <c r="F47" t="s">
        <v>4</v>
      </c>
      <c r="G47" s="4">
        <v>0.46250000000000002</v>
      </c>
      <c r="K47" s="8">
        <f>6.6494-3.1486</f>
        <v>3.5007999999999999</v>
      </c>
      <c r="L47" s="7">
        <v>0</v>
      </c>
      <c r="O47" s="7"/>
      <c r="P47" s="7"/>
    </row>
    <row r="48" spans="1:16" x14ac:dyDescent="0.3">
      <c r="A48" s="1">
        <v>43314</v>
      </c>
      <c r="B48" s="2">
        <v>1</v>
      </c>
      <c r="C48" s="2"/>
      <c r="D48" t="s">
        <v>66</v>
      </c>
      <c r="E48">
        <v>4</v>
      </c>
      <c r="F48" t="s">
        <v>4</v>
      </c>
      <c r="G48" s="4">
        <v>0.46375</v>
      </c>
      <c r="K48" s="8">
        <f>7.2298-3.2043</f>
        <v>4.0255000000000001</v>
      </c>
      <c r="L48" s="7">
        <v>8.0000000000000002E-3</v>
      </c>
      <c r="O48" s="7"/>
      <c r="P48" s="7"/>
    </row>
    <row r="49" spans="1:16" x14ac:dyDescent="0.3">
      <c r="A49" s="1">
        <v>43314</v>
      </c>
      <c r="B49" s="2">
        <v>2</v>
      </c>
      <c r="C49" s="2"/>
      <c r="D49" t="s">
        <v>66</v>
      </c>
      <c r="E49">
        <v>4</v>
      </c>
      <c r="F49" t="s">
        <v>4</v>
      </c>
      <c r="G49" s="4">
        <v>0.46375</v>
      </c>
      <c r="K49" s="8">
        <f>7.3761-3.2445</f>
        <v>4.1316000000000006</v>
      </c>
      <c r="L49" s="7">
        <v>3.0000000000000001E-3</v>
      </c>
      <c r="O49" s="7"/>
      <c r="P49" s="7"/>
    </row>
    <row r="50" spans="1:16" x14ac:dyDescent="0.3">
      <c r="A50" s="1">
        <v>43314</v>
      </c>
      <c r="B50" s="2">
        <v>3</v>
      </c>
      <c r="C50" s="2"/>
      <c r="D50" t="s">
        <v>66</v>
      </c>
      <c r="E50">
        <v>4</v>
      </c>
      <c r="F50" t="s">
        <v>4</v>
      </c>
      <c r="G50" s="4">
        <v>0.46375</v>
      </c>
      <c r="K50" s="8">
        <f>7.1177-3.258</f>
        <v>3.8597000000000001</v>
      </c>
      <c r="L50" s="7">
        <v>0</v>
      </c>
      <c r="O50" s="7"/>
      <c r="P50" s="7"/>
    </row>
    <row r="51" spans="1:16" x14ac:dyDescent="0.3">
      <c r="A51" s="1">
        <v>43314</v>
      </c>
      <c r="B51" s="2">
        <v>4</v>
      </c>
      <c r="C51" s="2"/>
      <c r="D51" t="s">
        <v>66</v>
      </c>
      <c r="E51">
        <v>4</v>
      </c>
      <c r="F51" t="s">
        <v>4</v>
      </c>
      <c r="G51" s="4">
        <v>0.46375</v>
      </c>
      <c r="K51" s="8">
        <f>7.2292-3.2831</f>
        <v>3.9460999999999995</v>
      </c>
      <c r="L51" s="7">
        <v>0</v>
      </c>
      <c r="O51" s="7"/>
      <c r="P51" s="7"/>
    </row>
    <row r="52" spans="1:16" x14ac:dyDescent="0.3">
      <c r="A52" s="1">
        <v>43314</v>
      </c>
      <c r="B52" s="2">
        <v>5</v>
      </c>
      <c r="C52" s="2"/>
      <c r="D52" t="s">
        <v>66</v>
      </c>
      <c r="E52">
        <v>4</v>
      </c>
      <c r="F52" t="s">
        <v>4</v>
      </c>
      <c r="G52" s="4">
        <v>0.46375</v>
      </c>
      <c r="K52" s="8">
        <f>6.9609-3.2199</f>
        <v>3.7409999999999997</v>
      </c>
      <c r="L52" s="7">
        <v>1E-3</v>
      </c>
      <c r="O52" s="7"/>
      <c r="P52" s="7"/>
    </row>
    <row r="53" spans="1:16" x14ac:dyDescent="0.3">
      <c r="A53" s="1">
        <v>43314</v>
      </c>
      <c r="B53" s="2">
        <v>6</v>
      </c>
      <c r="C53" s="2"/>
      <c r="D53" t="s">
        <v>66</v>
      </c>
      <c r="E53">
        <v>4</v>
      </c>
      <c r="F53" t="s">
        <v>4</v>
      </c>
      <c r="G53" s="4">
        <v>0.46375</v>
      </c>
      <c r="K53" s="8">
        <f>7.019-3.1711</f>
        <v>3.8479000000000001</v>
      </c>
      <c r="L53" s="7">
        <v>5.0000000000000001E-3</v>
      </c>
      <c r="O53" s="7"/>
      <c r="P53" s="7"/>
    </row>
    <row r="54" spans="1:16" x14ac:dyDescent="0.3">
      <c r="A54" s="1">
        <v>43314</v>
      </c>
      <c r="B54" s="2">
        <v>7</v>
      </c>
      <c r="C54" s="2"/>
      <c r="D54" t="s">
        <v>66</v>
      </c>
      <c r="E54">
        <v>4</v>
      </c>
      <c r="F54" t="s">
        <v>4</v>
      </c>
      <c r="G54" s="4">
        <v>0.46375</v>
      </c>
      <c r="K54" s="8">
        <f>7.0516-3.1937</f>
        <v>3.8578999999999994</v>
      </c>
      <c r="L54" s="7">
        <v>3.0000000000000001E-3</v>
      </c>
      <c r="O54" s="7"/>
      <c r="P54" s="7"/>
    </row>
    <row r="55" spans="1:16" x14ac:dyDescent="0.3">
      <c r="A55" s="1">
        <v>43314</v>
      </c>
      <c r="B55" s="2">
        <v>8</v>
      </c>
      <c r="C55" s="2"/>
      <c r="D55" t="s">
        <v>66</v>
      </c>
      <c r="E55">
        <v>4</v>
      </c>
      <c r="F55" t="s">
        <v>4</v>
      </c>
      <c r="G55" s="4">
        <v>0.46375</v>
      </c>
      <c r="K55" s="8">
        <f>7.1378-3.2269</f>
        <v>3.9109000000000003</v>
      </c>
      <c r="L55" s="7">
        <v>0</v>
      </c>
      <c r="O55" s="7"/>
      <c r="P55" s="7"/>
    </row>
    <row r="56" spans="1:16" x14ac:dyDescent="0.3">
      <c r="A56" s="1">
        <v>43319</v>
      </c>
      <c r="B56" s="2">
        <v>1</v>
      </c>
      <c r="C56" s="2"/>
      <c r="D56" t="s">
        <v>54</v>
      </c>
      <c r="E56">
        <v>4</v>
      </c>
      <c r="F56" t="s">
        <v>4</v>
      </c>
      <c r="G56" s="4">
        <v>0.52249999999999996</v>
      </c>
      <c r="K56" s="8">
        <f>6.6155-3.1977</f>
        <v>3.4177999999999997</v>
      </c>
      <c r="L56" s="7">
        <v>0.03</v>
      </c>
      <c r="O56" s="7"/>
      <c r="P56" s="7"/>
    </row>
    <row r="57" spans="1:16" x14ac:dyDescent="0.3">
      <c r="A57" s="1">
        <v>43319</v>
      </c>
      <c r="B57" s="2">
        <v>2</v>
      </c>
      <c r="C57" s="2"/>
      <c r="D57" t="s">
        <v>54</v>
      </c>
      <c r="E57">
        <v>4</v>
      </c>
      <c r="F57" t="s">
        <v>4</v>
      </c>
      <c r="G57" s="4">
        <v>0.52249999999999996</v>
      </c>
      <c r="K57" s="8">
        <f>6.8444-3.2468</f>
        <v>3.5976000000000004</v>
      </c>
      <c r="L57" s="7">
        <v>1.4999999999999999E-2</v>
      </c>
      <c r="O57" s="7"/>
      <c r="P57" s="7"/>
    </row>
    <row r="58" spans="1:16" x14ac:dyDescent="0.3">
      <c r="A58" s="1">
        <v>43319</v>
      </c>
      <c r="B58" s="2">
        <v>3</v>
      </c>
      <c r="C58" s="2"/>
      <c r="D58" t="s">
        <v>54</v>
      </c>
      <c r="E58">
        <v>4</v>
      </c>
      <c r="F58" t="s">
        <v>4</v>
      </c>
      <c r="G58" s="4">
        <v>0.52249999999999996</v>
      </c>
      <c r="K58" s="8">
        <f>6.7881-3.2176</f>
        <v>3.5705</v>
      </c>
      <c r="L58" s="7">
        <v>1.7000000000000001E-2</v>
      </c>
      <c r="O58" s="7"/>
      <c r="P58" s="7"/>
    </row>
    <row r="59" spans="1:16" x14ac:dyDescent="0.3">
      <c r="A59" s="1">
        <v>43319</v>
      </c>
      <c r="B59" s="2">
        <v>4</v>
      </c>
      <c r="C59" s="2"/>
      <c r="D59" t="s">
        <v>54</v>
      </c>
      <c r="E59">
        <v>4</v>
      </c>
      <c r="F59" t="s">
        <v>4</v>
      </c>
      <c r="G59" s="4">
        <v>0.52249999999999996</v>
      </c>
      <c r="K59" s="8">
        <f>6.975-3.211</f>
        <v>3.7639999999999998</v>
      </c>
      <c r="L59" s="7">
        <v>2.1000000000000001E-2</v>
      </c>
      <c r="O59" s="7"/>
      <c r="P59" s="7"/>
    </row>
    <row r="60" spans="1:16" x14ac:dyDescent="0.3">
      <c r="A60" s="1">
        <v>43319</v>
      </c>
      <c r="B60" s="2">
        <v>5</v>
      </c>
      <c r="C60" s="2"/>
      <c r="D60" t="s">
        <v>54</v>
      </c>
      <c r="E60">
        <v>4</v>
      </c>
      <c r="F60" t="s">
        <v>4</v>
      </c>
      <c r="G60" s="4">
        <v>0.52249999999999996</v>
      </c>
      <c r="K60" s="8">
        <f>6.7054-3.1923</f>
        <v>3.5131000000000001</v>
      </c>
      <c r="L60" s="7">
        <v>0.01</v>
      </c>
      <c r="O60" s="7"/>
      <c r="P60" s="7"/>
    </row>
    <row r="61" spans="1:16" x14ac:dyDescent="0.3">
      <c r="A61" s="1">
        <v>43319</v>
      </c>
      <c r="B61" s="2">
        <v>6</v>
      </c>
      <c r="C61" s="2"/>
      <c r="D61" t="s">
        <v>54</v>
      </c>
      <c r="E61">
        <v>4</v>
      </c>
      <c r="F61" t="s">
        <v>4</v>
      </c>
      <c r="G61" s="4">
        <v>0.52249999999999996</v>
      </c>
      <c r="K61" s="8">
        <f>6.7717-3.271</f>
        <v>3.5007000000000001</v>
      </c>
      <c r="O61" s="7"/>
      <c r="P61" s="7"/>
    </row>
    <row r="62" spans="1:16" x14ac:dyDescent="0.3">
      <c r="A62" s="1">
        <v>43321</v>
      </c>
      <c r="B62" s="2">
        <v>1</v>
      </c>
      <c r="C62" s="2"/>
      <c r="D62" t="s">
        <v>66</v>
      </c>
      <c r="E62">
        <v>4</v>
      </c>
      <c r="F62" t="s">
        <v>4</v>
      </c>
      <c r="G62" s="4">
        <v>0.52500000000000002</v>
      </c>
      <c r="H62" s="4">
        <v>180</v>
      </c>
      <c r="K62" s="8">
        <f>6.9936-3.2706</f>
        <v>3.7229999999999999</v>
      </c>
      <c r="L62" s="7">
        <v>0.03</v>
      </c>
      <c r="O62" s="7"/>
      <c r="P62" s="7"/>
    </row>
    <row r="63" spans="1:16" x14ac:dyDescent="0.3">
      <c r="A63" s="1">
        <v>43321</v>
      </c>
      <c r="B63" s="2">
        <v>2</v>
      </c>
      <c r="C63" s="2"/>
      <c r="D63" t="s">
        <v>66</v>
      </c>
      <c r="E63">
        <v>4</v>
      </c>
      <c r="F63" t="s">
        <v>4</v>
      </c>
      <c r="G63" s="4">
        <v>0.52500000000000002</v>
      </c>
      <c r="H63" s="4">
        <v>180</v>
      </c>
      <c r="K63" s="8">
        <f>7.3133-3.277</f>
        <v>4.0362999999999998</v>
      </c>
      <c r="L63" s="7">
        <v>0.05</v>
      </c>
      <c r="O63" s="7"/>
      <c r="P63" s="7"/>
    </row>
    <row r="64" spans="1:16" x14ac:dyDescent="0.3">
      <c r="A64" s="1">
        <v>43321</v>
      </c>
      <c r="B64" s="2">
        <v>3</v>
      </c>
      <c r="C64" s="2"/>
      <c r="D64" t="s">
        <v>66</v>
      </c>
      <c r="E64">
        <v>4</v>
      </c>
      <c r="F64" t="s">
        <v>4</v>
      </c>
      <c r="G64" s="4">
        <v>0.60250000000000004</v>
      </c>
      <c r="H64" s="4">
        <v>180</v>
      </c>
      <c r="K64" s="8">
        <f>6.8363-3.216</f>
        <v>3.6202999999999994</v>
      </c>
      <c r="L64" s="7">
        <v>0.155</v>
      </c>
      <c r="O64" s="7"/>
      <c r="P64" s="7"/>
    </row>
    <row r="65" spans="1:16" x14ac:dyDescent="0.3">
      <c r="A65" s="1">
        <v>43321</v>
      </c>
      <c r="B65" s="2">
        <v>4</v>
      </c>
      <c r="C65" s="2"/>
      <c r="D65" t="s">
        <v>66</v>
      </c>
      <c r="E65">
        <v>4</v>
      </c>
      <c r="F65" t="s">
        <v>4</v>
      </c>
      <c r="G65" s="4">
        <v>0.6</v>
      </c>
      <c r="H65" s="4">
        <v>180</v>
      </c>
      <c r="K65" s="8">
        <f>6.8964-3.2236</f>
        <v>3.6728000000000001</v>
      </c>
      <c r="L65" s="7">
        <v>0.16300000000000001</v>
      </c>
      <c r="O65" s="7"/>
      <c r="P65" s="7"/>
    </row>
    <row r="66" spans="1:16" x14ac:dyDescent="0.3">
      <c r="A66" s="1">
        <v>43321</v>
      </c>
      <c r="B66" s="2">
        <v>5</v>
      </c>
      <c r="C66" s="2"/>
      <c r="D66" t="s">
        <v>66</v>
      </c>
      <c r="E66">
        <v>4</v>
      </c>
      <c r="F66" t="s">
        <v>4</v>
      </c>
      <c r="G66" s="4">
        <v>0.56499999999999995</v>
      </c>
      <c r="H66" s="4">
        <v>180</v>
      </c>
      <c r="K66" s="8">
        <f>7.1059-3.2819</f>
        <v>3.8240000000000003</v>
      </c>
      <c r="L66" s="7">
        <v>0.1</v>
      </c>
      <c r="O66" s="7"/>
      <c r="P66" s="7"/>
    </row>
    <row r="67" spans="1:16" x14ac:dyDescent="0.3">
      <c r="A67" s="1">
        <v>43321</v>
      </c>
      <c r="B67" s="2">
        <v>6</v>
      </c>
      <c r="C67" s="2"/>
      <c r="D67" t="s">
        <v>66</v>
      </c>
      <c r="E67">
        <v>4</v>
      </c>
      <c r="F67" t="s">
        <v>4</v>
      </c>
      <c r="G67" s="4">
        <v>0.56000000000000005</v>
      </c>
      <c r="H67" s="4">
        <v>180</v>
      </c>
      <c r="K67" s="8">
        <f>7.0064-3.2121</f>
        <v>3.7943000000000002</v>
      </c>
      <c r="L67" s="7">
        <v>0.1</v>
      </c>
      <c r="O67" s="7"/>
      <c r="P67" s="7"/>
    </row>
    <row r="68" spans="1:16" x14ac:dyDescent="0.3">
      <c r="A68" s="1">
        <v>43321</v>
      </c>
      <c r="B68" s="2">
        <v>7</v>
      </c>
      <c r="C68" s="2"/>
      <c r="D68" t="s">
        <v>66</v>
      </c>
      <c r="E68">
        <v>4</v>
      </c>
      <c r="F68" t="s">
        <v>4</v>
      </c>
      <c r="G68" s="4">
        <v>0.42499999999999999</v>
      </c>
      <c r="H68" s="4">
        <v>180</v>
      </c>
      <c r="K68" s="8">
        <f>7.162-3.2001</f>
        <v>3.9619</v>
      </c>
      <c r="L68" s="7">
        <v>0</v>
      </c>
      <c r="O68" s="7"/>
      <c r="P68" s="7"/>
    </row>
    <row r="69" spans="1:16" x14ac:dyDescent="0.3">
      <c r="A69" s="1">
        <v>43326</v>
      </c>
      <c r="B69" s="2">
        <v>1</v>
      </c>
      <c r="C69" s="2"/>
      <c r="D69" t="s">
        <v>66</v>
      </c>
      <c r="E69">
        <v>4</v>
      </c>
      <c r="F69" t="s">
        <v>4</v>
      </c>
      <c r="G69" s="4">
        <v>0.505</v>
      </c>
      <c r="H69" s="4">
        <v>180</v>
      </c>
      <c r="K69" s="8">
        <f>6.8855-3.214</f>
        <v>3.6715000000000004</v>
      </c>
      <c r="L69" s="7">
        <v>2.8000000000000001E-2</v>
      </c>
      <c r="O69" s="7"/>
      <c r="P69" s="7"/>
    </row>
    <row r="70" spans="1:16" x14ac:dyDescent="0.3">
      <c r="A70" s="1">
        <v>43326</v>
      </c>
      <c r="B70" s="2">
        <v>2</v>
      </c>
      <c r="C70" s="2"/>
      <c r="D70" t="s">
        <v>66</v>
      </c>
      <c r="E70">
        <v>4</v>
      </c>
      <c r="F70" t="s">
        <v>4</v>
      </c>
      <c r="G70" s="4">
        <v>0.505</v>
      </c>
      <c r="H70" s="4">
        <v>180</v>
      </c>
      <c r="K70" s="8">
        <f>6.9765-3.2169</f>
        <v>3.7595999999999998</v>
      </c>
      <c r="L70" s="7">
        <v>3.6999999999999998E-2</v>
      </c>
      <c r="O70" s="7"/>
      <c r="P70" s="7"/>
    </row>
    <row r="71" spans="1:16" x14ac:dyDescent="0.3">
      <c r="A71" s="1">
        <v>43326</v>
      </c>
      <c r="B71" s="2">
        <v>3</v>
      </c>
      <c r="C71" s="2"/>
      <c r="D71" t="s">
        <v>66</v>
      </c>
      <c r="E71">
        <v>4</v>
      </c>
      <c r="F71" t="s">
        <v>4</v>
      </c>
      <c r="G71" s="4">
        <v>0.505</v>
      </c>
      <c r="H71" s="4">
        <v>180</v>
      </c>
      <c r="K71" s="8">
        <f>7.0388-3.2793</f>
        <v>3.7595000000000001</v>
      </c>
      <c r="L71" s="7">
        <v>1.6E-2</v>
      </c>
      <c r="O71" s="7"/>
      <c r="P71" s="7"/>
    </row>
    <row r="72" spans="1:16" x14ac:dyDescent="0.3">
      <c r="A72" s="1">
        <v>43326</v>
      </c>
      <c r="B72" s="2">
        <v>4</v>
      </c>
      <c r="C72" s="2"/>
      <c r="D72" t="s">
        <v>66</v>
      </c>
      <c r="E72">
        <v>4</v>
      </c>
      <c r="F72" t="s">
        <v>4</v>
      </c>
      <c r="G72" s="4">
        <v>0.438</v>
      </c>
      <c r="H72" s="4">
        <v>180</v>
      </c>
      <c r="K72" s="8">
        <f>7.2754-3.2405</f>
        <v>4.0349000000000004</v>
      </c>
      <c r="L72" s="7">
        <v>0</v>
      </c>
      <c r="O72" s="7"/>
      <c r="P72" s="7"/>
    </row>
    <row r="73" spans="1:16" x14ac:dyDescent="0.3">
      <c r="A73" s="1">
        <v>43326</v>
      </c>
      <c r="B73" s="2">
        <v>5</v>
      </c>
      <c r="C73" s="2"/>
      <c r="D73" t="s">
        <v>66</v>
      </c>
      <c r="E73">
        <v>4</v>
      </c>
      <c r="F73" t="s">
        <v>4</v>
      </c>
      <c r="G73" s="4">
        <v>0.56999999999999995</v>
      </c>
      <c r="H73" s="4">
        <v>180</v>
      </c>
      <c r="K73" s="8">
        <f>6.966-3.2133</f>
        <v>3.7527000000000004</v>
      </c>
      <c r="L73" s="7">
        <f>0.6/4.88</f>
        <v>0.12295081967213115</v>
      </c>
      <c r="O73" s="7"/>
      <c r="P73" s="7"/>
    </row>
    <row r="74" spans="1:16" x14ac:dyDescent="0.3">
      <c r="A74" s="1">
        <v>43326</v>
      </c>
      <c r="B74" s="2">
        <v>6</v>
      </c>
      <c r="C74" s="2"/>
      <c r="D74" t="s">
        <v>66</v>
      </c>
      <c r="E74">
        <v>4</v>
      </c>
      <c r="F74" t="s">
        <v>4</v>
      </c>
      <c r="G74" s="4">
        <v>0.56499999999999995</v>
      </c>
      <c r="H74" s="4">
        <v>180</v>
      </c>
      <c r="K74" s="8">
        <f>7.1271-3.2539</f>
        <v>3.8732000000000006</v>
      </c>
      <c r="O74" s="7"/>
      <c r="P74" s="7"/>
    </row>
    <row r="75" spans="1:16" x14ac:dyDescent="0.3">
      <c r="A75" s="1">
        <v>43326</v>
      </c>
      <c r="B75" s="2">
        <v>7</v>
      </c>
      <c r="C75" s="2"/>
      <c r="D75" t="s">
        <v>66</v>
      </c>
      <c r="E75">
        <v>4</v>
      </c>
      <c r="F75" t="s">
        <v>4</v>
      </c>
      <c r="G75" s="4">
        <v>0.42</v>
      </c>
      <c r="H75" s="4">
        <v>180</v>
      </c>
      <c r="K75" s="8">
        <f>7.1299-3.1727</f>
        <v>3.9572000000000003</v>
      </c>
      <c r="L75" s="7">
        <v>0</v>
      </c>
      <c r="O75" s="7"/>
      <c r="P75" s="7"/>
    </row>
    <row r="76" spans="1:16" x14ac:dyDescent="0.3">
      <c r="A76" s="1">
        <v>43328</v>
      </c>
      <c r="B76" s="2">
        <v>1</v>
      </c>
      <c r="C76" s="2"/>
      <c r="D76" t="s">
        <v>55</v>
      </c>
      <c r="E76">
        <v>3</v>
      </c>
      <c r="F76" t="s">
        <v>4</v>
      </c>
      <c r="G76" s="4">
        <v>0.55000000000000004</v>
      </c>
      <c r="H76" s="4">
        <v>180</v>
      </c>
      <c r="K76" s="8">
        <f>6.8743-3.2022</f>
        <v>3.6720999999999999</v>
      </c>
      <c r="L76" s="7">
        <v>0.155</v>
      </c>
      <c r="O76" s="7"/>
      <c r="P76" s="7"/>
    </row>
    <row r="77" spans="1:16" x14ac:dyDescent="0.3">
      <c r="A77" s="1">
        <v>43328</v>
      </c>
      <c r="B77" s="2">
        <v>4</v>
      </c>
      <c r="C77" s="2"/>
      <c r="D77" t="s">
        <v>56</v>
      </c>
      <c r="E77">
        <v>5</v>
      </c>
      <c r="F77" t="s">
        <v>4</v>
      </c>
      <c r="G77" s="4">
        <v>0.65200000000000002</v>
      </c>
      <c r="H77" s="4">
        <v>180</v>
      </c>
      <c r="K77" s="8">
        <f>7.4326-3.2338</f>
        <v>4.1988000000000003</v>
      </c>
      <c r="L77" s="7">
        <v>0.19500000000000001</v>
      </c>
      <c r="O77" s="7"/>
      <c r="P77" s="7"/>
    </row>
    <row r="78" spans="1:16" x14ac:dyDescent="0.3">
      <c r="A78" s="1">
        <v>43328</v>
      </c>
      <c r="B78" s="2">
        <v>5</v>
      </c>
      <c r="C78" s="2"/>
      <c r="D78" t="s">
        <v>56</v>
      </c>
      <c r="E78">
        <v>5</v>
      </c>
      <c r="F78" t="s">
        <v>4</v>
      </c>
      <c r="G78" s="4">
        <v>0.63</v>
      </c>
      <c r="H78" s="4">
        <v>180</v>
      </c>
      <c r="K78" s="8">
        <f>7.2638-3.2347</f>
        <v>4.0290999999999997</v>
      </c>
      <c r="L78" s="7">
        <v>0.15</v>
      </c>
      <c r="O78" s="7"/>
      <c r="P78" s="7"/>
    </row>
    <row r="79" spans="1:16" x14ac:dyDescent="0.3">
      <c r="A79" s="1">
        <v>43328</v>
      </c>
      <c r="B79" s="2">
        <v>1</v>
      </c>
      <c r="C79" s="2"/>
      <c r="D79" t="s">
        <v>56</v>
      </c>
      <c r="E79">
        <v>5</v>
      </c>
      <c r="F79" t="s">
        <v>4</v>
      </c>
      <c r="G79" s="4">
        <v>0.46</v>
      </c>
      <c r="H79" s="4">
        <v>180</v>
      </c>
      <c r="K79" s="8">
        <f>6.9352-3.1927</f>
        <v>3.7425000000000002</v>
      </c>
      <c r="L79" s="7">
        <v>0</v>
      </c>
      <c r="O79" s="7"/>
      <c r="P79" s="7"/>
    </row>
    <row r="80" spans="1:16" x14ac:dyDescent="0.3">
      <c r="A80" s="1">
        <v>43328</v>
      </c>
      <c r="B80" s="2">
        <v>2</v>
      </c>
      <c r="C80" s="2"/>
      <c r="D80" t="s">
        <v>55</v>
      </c>
      <c r="E80">
        <v>3</v>
      </c>
      <c r="F80" t="s">
        <v>4</v>
      </c>
      <c r="G80" s="4">
        <v>0.46</v>
      </c>
      <c r="H80" s="4">
        <v>180</v>
      </c>
      <c r="K80" s="8">
        <f>6.6228-3.1679</f>
        <v>3.4548999999999999</v>
      </c>
      <c r="L80" s="7">
        <v>0.01</v>
      </c>
      <c r="O80" s="7"/>
      <c r="P80" s="7"/>
    </row>
    <row r="81" spans="1:17" x14ac:dyDescent="0.3">
      <c r="A81" s="1">
        <v>43328</v>
      </c>
      <c r="B81" s="2">
        <v>3</v>
      </c>
      <c r="C81" s="2"/>
      <c r="D81" t="s">
        <v>55</v>
      </c>
      <c r="E81">
        <v>3</v>
      </c>
      <c r="F81" t="s">
        <v>4</v>
      </c>
      <c r="G81" s="4">
        <v>0.46</v>
      </c>
      <c r="H81" s="4">
        <v>180</v>
      </c>
      <c r="K81" s="8">
        <f>6.72-3.2171</f>
        <v>3.5028999999999999</v>
      </c>
      <c r="L81" s="7">
        <v>1.7999999999999999E-2</v>
      </c>
      <c r="O81" s="7"/>
      <c r="P81" s="7"/>
    </row>
    <row r="82" spans="1:17" x14ac:dyDescent="0.3">
      <c r="A82" s="1">
        <v>43328</v>
      </c>
      <c r="B82" s="2">
        <v>4</v>
      </c>
      <c r="C82" s="2"/>
      <c r="D82" t="s">
        <v>55</v>
      </c>
      <c r="E82">
        <v>3</v>
      </c>
      <c r="F82" t="s">
        <v>4</v>
      </c>
      <c r="G82" s="4">
        <v>0.47299999999999998</v>
      </c>
      <c r="H82" s="4">
        <v>180</v>
      </c>
      <c r="K82" s="8">
        <f>6.7583-3.2045</f>
        <v>3.5538000000000003</v>
      </c>
      <c r="L82" s="7">
        <v>0.04</v>
      </c>
      <c r="O82" s="7"/>
      <c r="P82" s="7"/>
    </row>
    <row r="83" spans="1:17" x14ac:dyDescent="0.3">
      <c r="A83" s="1">
        <v>43328</v>
      </c>
      <c r="B83" s="2">
        <v>5</v>
      </c>
      <c r="C83" s="2"/>
      <c r="D83" t="s">
        <v>55</v>
      </c>
      <c r="E83">
        <v>3</v>
      </c>
      <c r="F83" t="s">
        <v>4</v>
      </c>
      <c r="G83" s="4">
        <v>0.52200000000000002</v>
      </c>
      <c r="H83" s="4">
        <v>180</v>
      </c>
      <c r="K83" s="8">
        <f>6.7583-3.2045</f>
        <v>3.5538000000000003</v>
      </c>
      <c r="L83" s="7">
        <v>0.105</v>
      </c>
      <c r="O83" s="7"/>
      <c r="P83" s="7"/>
    </row>
    <row r="84" spans="1:17" x14ac:dyDescent="0.3">
      <c r="A84" s="1">
        <v>43328</v>
      </c>
      <c r="B84" s="2">
        <v>6</v>
      </c>
      <c r="C84" s="2"/>
      <c r="D84" t="s">
        <v>55</v>
      </c>
      <c r="E84">
        <v>3</v>
      </c>
      <c r="F84" t="s">
        <v>4</v>
      </c>
      <c r="G84" s="4">
        <v>0.52500000000000002</v>
      </c>
      <c r="H84" s="4">
        <v>180</v>
      </c>
      <c r="K84" s="8">
        <f>6.7735-3.2398</f>
        <v>3.5337000000000005</v>
      </c>
      <c r="L84" s="7">
        <v>9.2999999999999999E-2</v>
      </c>
      <c r="O84" s="7"/>
      <c r="P84" s="7"/>
    </row>
    <row r="85" spans="1:17" x14ac:dyDescent="0.3">
      <c r="A85" s="1">
        <v>43328</v>
      </c>
      <c r="B85" s="2">
        <v>7</v>
      </c>
      <c r="C85" s="2"/>
      <c r="D85" t="s">
        <v>55</v>
      </c>
      <c r="E85">
        <v>3</v>
      </c>
      <c r="F85" t="s">
        <v>4</v>
      </c>
      <c r="H85" s="4">
        <v>180</v>
      </c>
      <c r="K85" s="8">
        <f>6.6453-3.2009</f>
        <v>3.4443999999999999</v>
      </c>
      <c r="L85" s="7">
        <v>0.23</v>
      </c>
      <c r="O85" s="7"/>
      <c r="P85" s="7"/>
    </row>
    <row r="86" spans="1:17" x14ac:dyDescent="0.3">
      <c r="A86" s="1">
        <v>43333</v>
      </c>
      <c r="B86" s="2">
        <v>1</v>
      </c>
      <c r="C86" s="2"/>
      <c r="D86" t="s">
        <v>56</v>
      </c>
      <c r="E86">
        <v>5</v>
      </c>
      <c r="F86" t="s">
        <v>4</v>
      </c>
      <c r="G86" s="4">
        <v>0.502</v>
      </c>
      <c r="H86" s="4">
        <v>180</v>
      </c>
      <c r="K86" s="8">
        <v>3.8309000000000002</v>
      </c>
      <c r="L86" s="7">
        <v>1E-3</v>
      </c>
      <c r="O86" s="8">
        <v>4.8050000000000068</v>
      </c>
      <c r="P86" s="8">
        <v>0.19230000000000302</v>
      </c>
      <c r="Q86" s="8">
        <f>O86-P86</f>
        <v>4.6127000000000038</v>
      </c>
    </row>
    <row r="87" spans="1:17" x14ac:dyDescent="0.3">
      <c r="A87" s="1">
        <v>43333</v>
      </c>
      <c r="B87" s="2">
        <v>2</v>
      </c>
      <c r="C87" s="2"/>
      <c r="D87" t="s">
        <v>56</v>
      </c>
      <c r="E87">
        <v>5</v>
      </c>
      <c r="F87" t="s">
        <v>4</v>
      </c>
      <c r="G87" s="4">
        <v>0.55400000000000005</v>
      </c>
      <c r="H87" s="4">
        <v>180</v>
      </c>
      <c r="K87" s="8">
        <v>3.9666000000000001</v>
      </c>
      <c r="L87" s="7">
        <v>7.1999999999999995E-2</v>
      </c>
      <c r="O87" s="8">
        <v>4.9771000000000072</v>
      </c>
      <c r="P87" s="8">
        <v>0.39730000000000132</v>
      </c>
      <c r="Q87" s="8">
        <f t="shared" ref="Q87:Q104" si="2">O87-P87</f>
        <v>4.5798000000000059</v>
      </c>
    </row>
    <row r="88" spans="1:17" x14ac:dyDescent="0.3">
      <c r="A88" s="1">
        <v>43333</v>
      </c>
      <c r="B88" s="2">
        <v>3</v>
      </c>
      <c r="C88" s="2"/>
      <c r="D88" t="s">
        <v>56</v>
      </c>
      <c r="E88">
        <v>5</v>
      </c>
      <c r="F88" t="s">
        <v>4</v>
      </c>
      <c r="G88" s="4">
        <v>0.56999999999999995</v>
      </c>
      <c r="H88" s="4">
        <v>180</v>
      </c>
      <c r="K88" s="8">
        <v>4.1524000000000001</v>
      </c>
      <c r="L88" s="7">
        <v>9.1999999999999998E-2</v>
      </c>
      <c r="O88" s="8">
        <v>4.9440000000000026</v>
      </c>
      <c r="P88" s="8">
        <v>0.27400000000000091</v>
      </c>
      <c r="Q88" s="8">
        <f t="shared" si="2"/>
        <v>4.6700000000000017</v>
      </c>
    </row>
    <row r="89" spans="1:17" x14ac:dyDescent="0.3">
      <c r="A89" s="1">
        <v>43333</v>
      </c>
      <c r="B89" s="2">
        <v>4</v>
      </c>
      <c r="C89" s="2"/>
      <c r="D89" t="s">
        <v>56</v>
      </c>
      <c r="E89">
        <v>5</v>
      </c>
      <c r="F89" t="s">
        <v>4</v>
      </c>
      <c r="G89" s="4">
        <v>0.60099999999999998</v>
      </c>
      <c r="H89" s="4">
        <v>180</v>
      </c>
      <c r="K89" s="8">
        <v>4.2434000000000003</v>
      </c>
      <c r="L89" s="7">
        <v>0.13300000000000001</v>
      </c>
      <c r="O89" s="8">
        <v>4.8910000000000053</v>
      </c>
      <c r="P89" s="8">
        <v>0.18160000000000309</v>
      </c>
      <c r="Q89" s="8">
        <f t="shared" si="2"/>
        <v>4.7094000000000023</v>
      </c>
    </row>
    <row r="90" spans="1:17" x14ac:dyDescent="0.3">
      <c r="A90" s="1">
        <v>43333</v>
      </c>
      <c r="B90" s="2">
        <v>5</v>
      </c>
      <c r="C90" s="2"/>
      <c r="D90" t="s">
        <v>56</v>
      </c>
      <c r="E90">
        <v>5</v>
      </c>
      <c r="F90" t="s">
        <v>4</v>
      </c>
      <c r="G90" s="4">
        <v>0.60799999999999998</v>
      </c>
      <c r="H90" s="4">
        <v>180</v>
      </c>
      <c r="K90" s="8">
        <v>4.1429999999999998</v>
      </c>
      <c r="L90" s="7">
        <v>0.14099999999999999</v>
      </c>
      <c r="O90" s="8">
        <v>4.9699999999999989</v>
      </c>
      <c r="P90" s="8">
        <v>0.33789999999999054</v>
      </c>
      <c r="Q90" s="8">
        <f t="shared" si="2"/>
        <v>4.6321000000000083</v>
      </c>
    </row>
    <row r="91" spans="1:17" x14ac:dyDescent="0.3">
      <c r="A91" s="1">
        <v>43333</v>
      </c>
      <c r="B91" s="2">
        <v>6</v>
      </c>
      <c r="C91" s="2"/>
      <c r="D91" t="s">
        <v>56</v>
      </c>
      <c r="E91">
        <v>5</v>
      </c>
      <c r="F91" t="s">
        <v>4</v>
      </c>
      <c r="G91" s="4">
        <v>0.52400000000000002</v>
      </c>
      <c r="H91" s="4">
        <v>180</v>
      </c>
      <c r="K91" s="8">
        <v>4.2027999999999999</v>
      </c>
      <c r="L91" s="7">
        <v>2.5999999999999999E-2</v>
      </c>
      <c r="O91" s="8">
        <v>4.9440000000000026</v>
      </c>
      <c r="Q91" s="8"/>
    </row>
    <row r="92" spans="1:17" x14ac:dyDescent="0.3">
      <c r="A92" s="1">
        <v>43334</v>
      </c>
      <c r="B92" s="2">
        <v>1</v>
      </c>
      <c r="C92" s="2"/>
      <c r="D92" t="s">
        <v>66</v>
      </c>
      <c r="E92">
        <v>4</v>
      </c>
      <c r="F92" t="s">
        <v>4</v>
      </c>
      <c r="G92" s="4">
        <v>0.48</v>
      </c>
      <c r="H92" s="4">
        <v>30</v>
      </c>
      <c r="K92" s="8">
        <v>3.6593</v>
      </c>
      <c r="L92" s="7">
        <v>0</v>
      </c>
      <c r="Q92" s="8"/>
    </row>
    <row r="93" spans="1:17" x14ac:dyDescent="0.3">
      <c r="A93" s="1">
        <v>43334</v>
      </c>
      <c r="B93" s="2">
        <v>2</v>
      </c>
      <c r="C93" s="2"/>
      <c r="D93" t="s">
        <v>66</v>
      </c>
      <c r="E93">
        <v>4</v>
      </c>
      <c r="F93" t="s">
        <v>4</v>
      </c>
      <c r="G93" s="4">
        <v>0.48</v>
      </c>
      <c r="H93" s="4">
        <v>30</v>
      </c>
      <c r="K93" s="8">
        <v>3.5756999999999999</v>
      </c>
      <c r="L93" s="7">
        <v>1E-3</v>
      </c>
      <c r="O93" s="8">
        <v>5.0288000000000039</v>
      </c>
      <c r="P93" s="8">
        <v>0.56930000000001257</v>
      </c>
      <c r="Q93" s="8">
        <f t="shared" si="2"/>
        <v>4.4594999999999914</v>
      </c>
    </row>
    <row r="94" spans="1:17" x14ac:dyDescent="0.3">
      <c r="A94" s="1">
        <v>43334</v>
      </c>
      <c r="B94" s="2">
        <v>3</v>
      </c>
      <c r="C94" s="2"/>
      <c r="D94" t="s">
        <v>66</v>
      </c>
      <c r="E94">
        <v>4</v>
      </c>
      <c r="F94" t="s">
        <v>4</v>
      </c>
      <c r="G94" s="4">
        <v>0.48</v>
      </c>
      <c r="H94" s="4">
        <v>0</v>
      </c>
      <c r="K94" s="8">
        <v>3.7069999999999999</v>
      </c>
      <c r="L94" s="7">
        <v>1E-3</v>
      </c>
      <c r="O94" s="8">
        <v>4.8084999999999951</v>
      </c>
      <c r="P94" s="8">
        <v>0.42539999999999623</v>
      </c>
      <c r="Q94" s="8">
        <f t="shared" si="2"/>
        <v>4.3830999999999989</v>
      </c>
    </row>
    <row r="95" spans="1:17" x14ac:dyDescent="0.3">
      <c r="A95" s="1">
        <v>43334</v>
      </c>
      <c r="B95" s="2">
        <v>4</v>
      </c>
      <c r="C95" s="2"/>
      <c r="D95" t="s">
        <v>66</v>
      </c>
      <c r="E95">
        <v>4</v>
      </c>
      <c r="F95" t="s">
        <v>4</v>
      </c>
      <c r="G95" s="4">
        <v>0.48</v>
      </c>
      <c r="H95" s="4">
        <v>60</v>
      </c>
      <c r="K95" s="8">
        <v>3.8822000000000001</v>
      </c>
      <c r="L95" s="7">
        <v>0.01</v>
      </c>
      <c r="O95" s="8">
        <v>4.7087999999999965</v>
      </c>
      <c r="P95" s="8">
        <v>0.30830000000000268</v>
      </c>
      <c r="Q95" s="8">
        <f t="shared" si="2"/>
        <v>4.4004999999999939</v>
      </c>
    </row>
    <row r="96" spans="1:17" x14ac:dyDescent="0.3">
      <c r="A96" s="1">
        <v>43334</v>
      </c>
      <c r="B96" s="2">
        <v>5</v>
      </c>
      <c r="C96" s="2"/>
      <c r="D96" t="s">
        <v>66</v>
      </c>
      <c r="E96">
        <v>4</v>
      </c>
      <c r="F96" t="s">
        <v>4</v>
      </c>
      <c r="G96" s="4">
        <v>0.48</v>
      </c>
      <c r="H96" s="4">
        <v>60</v>
      </c>
      <c r="K96" s="8">
        <v>3.8551000000000002</v>
      </c>
      <c r="L96" s="7">
        <v>3.0000000000000001E-3</v>
      </c>
      <c r="O96" s="8">
        <v>4.7257000000000033</v>
      </c>
      <c r="P96" s="8">
        <v>0.36320000000000618</v>
      </c>
      <c r="Q96" s="8">
        <f t="shared" si="2"/>
        <v>4.3624999999999972</v>
      </c>
    </row>
    <row r="97" spans="1:19" x14ac:dyDescent="0.3">
      <c r="A97" s="1">
        <v>43334</v>
      </c>
      <c r="B97" s="2">
        <v>6</v>
      </c>
      <c r="C97" s="2"/>
      <c r="D97" t="s">
        <v>66</v>
      </c>
      <c r="E97">
        <v>4</v>
      </c>
      <c r="F97" t="s">
        <v>4</v>
      </c>
      <c r="G97" s="4">
        <v>0.48</v>
      </c>
      <c r="H97" s="4">
        <v>0</v>
      </c>
      <c r="K97" s="8">
        <v>3.8403999999999998</v>
      </c>
      <c r="L97" s="7">
        <v>1E-3</v>
      </c>
      <c r="O97" s="8">
        <v>4.730400000000003</v>
      </c>
      <c r="P97" s="8">
        <v>0.42330000000001178</v>
      </c>
      <c r="Q97" s="8">
        <f t="shared" si="2"/>
        <v>4.3070999999999913</v>
      </c>
    </row>
    <row r="98" spans="1:19" x14ac:dyDescent="0.3">
      <c r="A98" s="1">
        <v>43340</v>
      </c>
      <c r="B98" s="2">
        <v>1</v>
      </c>
      <c r="C98" s="2"/>
      <c r="D98" t="s">
        <v>66</v>
      </c>
      <c r="E98">
        <v>4</v>
      </c>
      <c r="F98" t="s">
        <v>4</v>
      </c>
      <c r="G98" s="4">
        <v>0.55000000000000004</v>
      </c>
      <c r="H98" s="4">
        <v>30</v>
      </c>
      <c r="K98" s="8">
        <v>3.3854000000000002</v>
      </c>
      <c r="L98" s="7">
        <v>7.0000000000000007E-2</v>
      </c>
      <c r="N98" s="7">
        <v>0.84</v>
      </c>
      <c r="O98" s="8">
        <v>4.7156999999999982</v>
      </c>
      <c r="P98" s="8">
        <v>0.28279999999999461</v>
      </c>
      <c r="Q98" s="8">
        <f t="shared" si="2"/>
        <v>4.4329000000000036</v>
      </c>
    </row>
    <row r="99" spans="1:19" x14ac:dyDescent="0.3">
      <c r="A99" s="1">
        <v>43340</v>
      </c>
      <c r="B99" s="2">
        <v>2</v>
      </c>
      <c r="C99" s="2"/>
      <c r="D99" t="s">
        <v>66</v>
      </c>
      <c r="E99">
        <v>4</v>
      </c>
      <c r="F99" t="s">
        <v>4</v>
      </c>
      <c r="G99" s="4">
        <v>0.55000000000000004</v>
      </c>
      <c r="H99" s="4">
        <v>60</v>
      </c>
      <c r="K99" s="8">
        <v>3.7955999999999999</v>
      </c>
      <c r="L99" s="7">
        <v>8.3000000000000004E-2</v>
      </c>
      <c r="N99" s="7">
        <v>0.86</v>
      </c>
      <c r="O99" s="8">
        <v>4.816900000000004</v>
      </c>
      <c r="P99" s="8">
        <v>0.42970000000001107</v>
      </c>
      <c r="Q99" s="8">
        <f t="shared" si="2"/>
        <v>4.3871999999999929</v>
      </c>
    </row>
    <row r="100" spans="1:19" x14ac:dyDescent="0.3">
      <c r="A100" s="1">
        <v>43340</v>
      </c>
      <c r="B100" s="2">
        <v>3</v>
      </c>
      <c r="C100" s="2"/>
      <c r="D100" t="s">
        <v>66</v>
      </c>
      <c r="E100">
        <v>4</v>
      </c>
      <c r="F100" t="s">
        <v>4</v>
      </c>
      <c r="G100" s="4">
        <v>0.55000000000000004</v>
      </c>
      <c r="H100" s="4">
        <v>30</v>
      </c>
      <c r="K100" s="8">
        <v>3.7587999999999999</v>
      </c>
      <c r="L100" s="7">
        <v>9.5000000000000001E-2</v>
      </c>
      <c r="N100" s="7">
        <v>0.83599999999999997</v>
      </c>
      <c r="O100" s="8">
        <v>4.7870999999999952</v>
      </c>
      <c r="P100" s="8">
        <v>0.34669999999999845</v>
      </c>
      <c r="Q100" s="8">
        <f t="shared" si="2"/>
        <v>4.4403999999999968</v>
      </c>
    </row>
    <row r="101" spans="1:19" x14ac:dyDescent="0.3">
      <c r="A101" s="1">
        <v>43340</v>
      </c>
      <c r="B101" s="2">
        <v>4</v>
      </c>
      <c r="C101" s="2"/>
      <c r="D101" t="s">
        <v>66</v>
      </c>
      <c r="E101">
        <v>4</v>
      </c>
      <c r="F101" t="s">
        <v>4</v>
      </c>
      <c r="G101" s="4">
        <v>0.55000000000000004</v>
      </c>
      <c r="H101" s="4">
        <v>0</v>
      </c>
      <c r="K101" s="8">
        <v>3.9171</v>
      </c>
      <c r="L101" s="7">
        <v>9.5000000000000001E-2</v>
      </c>
      <c r="N101" s="7">
        <v>0.88</v>
      </c>
      <c r="Q101" s="8">
        <v>4.4030999999999949</v>
      </c>
      <c r="S101" s="8"/>
    </row>
    <row r="102" spans="1:19" x14ac:dyDescent="0.3">
      <c r="A102" s="1">
        <v>43340</v>
      </c>
      <c r="B102" s="2">
        <v>5</v>
      </c>
      <c r="C102" s="2"/>
      <c r="D102" t="s">
        <v>66</v>
      </c>
      <c r="E102">
        <v>4</v>
      </c>
      <c r="F102" t="s">
        <v>4</v>
      </c>
      <c r="G102" s="4">
        <v>0.55000000000000004</v>
      </c>
      <c r="H102" s="4">
        <v>60</v>
      </c>
      <c r="K102" s="8">
        <v>3.9285999999999999</v>
      </c>
      <c r="L102" s="7">
        <v>9.5000000000000001E-2</v>
      </c>
      <c r="O102" s="8">
        <v>4.7680000000000007</v>
      </c>
      <c r="P102" s="8">
        <v>0.32210000000000605</v>
      </c>
      <c r="Q102" s="8">
        <f t="shared" si="2"/>
        <v>4.4458999999999946</v>
      </c>
    </row>
    <row r="103" spans="1:19" x14ac:dyDescent="0.3">
      <c r="A103" s="1">
        <v>43340</v>
      </c>
      <c r="B103" s="2">
        <v>6</v>
      </c>
      <c r="C103" s="2"/>
      <c r="D103" t="s">
        <v>66</v>
      </c>
      <c r="E103">
        <v>4</v>
      </c>
      <c r="F103" t="s">
        <v>4</v>
      </c>
      <c r="G103" s="4">
        <v>0.55000000000000004</v>
      </c>
      <c r="H103" s="4">
        <v>0</v>
      </c>
      <c r="K103" s="8">
        <v>3.7869000000000002</v>
      </c>
      <c r="L103" s="7">
        <v>7.4999999999999997E-2</v>
      </c>
      <c r="O103" s="8">
        <v>4.9052999999999969</v>
      </c>
      <c r="P103" s="8">
        <v>0.41339999999999577</v>
      </c>
      <c r="Q103" s="8">
        <f t="shared" si="2"/>
        <v>4.4919000000000011</v>
      </c>
    </row>
    <row r="104" spans="1:19" x14ac:dyDescent="0.3">
      <c r="A104" s="1">
        <v>43340</v>
      </c>
      <c r="B104" s="2">
        <v>7</v>
      </c>
      <c r="C104" s="2"/>
      <c r="D104" t="s">
        <v>66</v>
      </c>
      <c r="E104">
        <v>4</v>
      </c>
      <c r="F104" t="s">
        <v>4</v>
      </c>
      <c r="G104" s="4">
        <v>0.55000000000000004</v>
      </c>
      <c r="H104" s="4">
        <v>0</v>
      </c>
      <c r="K104" s="8">
        <v>3.7909000000000002</v>
      </c>
      <c r="L104" s="7">
        <v>8.5000000000000006E-2</v>
      </c>
      <c r="N104" s="7">
        <v>0.873</v>
      </c>
      <c r="O104" s="8">
        <v>4.9136000000000024</v>
      </c>
      <c r="P104" s="8">
        <v>0.44519999999999982</v>
      </c>
      <c r="Q104" s="8">
        <f t="shared" si="2"/>
        <v>4.4684000000000026</v>
      </c>
    </row>
    <row r="105" spans="1:19" x14ac:dyDescent="0.3">
      <c r="A105" s="1">
        <v>43342</v>
      </c>
      <c r="B105" s="2">
        <v>1</v>
      </c>
      <c r="C105" s="2"/>
      <c r="D105" t="s">
        <v>54</v>
      </c>
      <c r="E105">
        <v>4</v>
      </c>
      <c r="F105" t="s">
        <v>4</v>
      </c>
      <c r="G105" s="4">
        <v>0.435</v>
      </c>
      <c r="H105" s="4">
        <v>180</v>
      </c>
      <c r="K105" s="8">
        <v>3.6320000000000001</v>
      </c>
      <c r="L105" s="7">
        <v>0</v>
      </c>
      <c r="N105" s="7">
        <v>0.80500000000000005</v>
      </c>
    </row>
    <row r="106" spans="1:19" x14ac:dyDescent="0.3">
      <c r="A106" s="1">
        <v>43342</v>
      </c>
      <c r="B106" s="2">
        <v>2</v>
      </c>
      <c r="C106" s="2"/>
      <c r="D106" t="s">
        <v>54</v>
      </c>
      <c r="E106">
        <v>4</v>
      </c>
      <c r="F106" t="s">
        <v>4</v>
      </c>
      <c r="G106" s="4">
        <v>0.46</v>
      </c>
      <c r="H106" s="4">
        <v>180</v>
      </c>
      <c r="K106" s="8">
        <v>3.7984</v>
      </c>
      <c r="L106" s="7">
        <v>1E-3</v>
      </c>
      <c r="N106" s="7">
        <v>0.88500000000000001</v>
      </c>
    </row>
    <row r="107" spans="1:19" x14ac:dyDescent="0.3">
      <c r="A107" s="1">
        <v>43342</v>
      </c>
      <c r="B107" s="2">
        <v>3</v>
      </c>
      <c r="C107" s="2"/>
      <c r="D107" t="s">
        <v>54</v>
      </c>
      <c r="E107">
        <v>4</v>
      </c>
      <c r="F107" t="s">
        <v>4</v>
      </c>
      <c r="G107" s="4">
        <v>0.51500000000000001</v>
      </c>
      <c r="H107" s="4">
        <v>180</v>
      </c>
      <c r="K107" s="8">
        <v>3.8496999999999999</v>
      </c>
      <c r="L107" s="7">
        <v>0.04</v>
      </c>
      <c r="N107" s="7">
        <v>0.84</v>
      </c>
    </row>
    <row r="108" spans="1:19" x14ac:dyDescent="0.3">
      <c r="A108" s="1">
        <v>43342</v>
      </c>
      <c r="B108" s="2">
        <v>4</v>
      </c>
      <c r="C108" s="2"/>
      <c r="D108" t="s">
        <v>54</v>
      </c>
      <c r="E108">
        <v>4</v>
      </c>
      <c r="F108" t="s">
        <v>4</v>
      </c>
      <c r="G108" s="4">
        <v>0.51</v>
      </c>
      <c r="H108" s="4">
        <v>180</v>
      </c>
      <c r="K108" s="8">
        <v>3.8971</v>
      </c>
      <c r="L108" s="7">
        <v>0.03</v>
      </c>
      <c r="N108" s="7">
        <v>0.82</v>
      </c>
    </row>
    <row r="109" spans="1:19" x14ac:dyDescent="0.3">
      <c r="A109" s="1">
        <v>43342</v>
      </c>
      <c r="B109" s="2">
        <v>5</v>
      </c>
      <c r="C109" s="2"/>
      <c r="D109" t="s">
        <v>54</v>
      </c>
      <c r="E109">
        <v>4</v>
      </c>
      <c r="F109" t="s">
        <v>4</v>
      </c>
      <c r="G109" s="4">
        <v>0.56499999999999995</v>
      </c>
      <c r="H109" s="4">
        <v>180</v>
      </c>
      <c r="K109" s="8">
        <v>3.7071999999999998</v>
      </c>
      <c r="L109" s="7">
        <v>0.08</v>
      </c>
      <c r="N109" s="7">
        <v>0.86499999999999999</v>
      </c>
    </row>
    <row r="110" spans="1:19" x14ac:dyDescent="0.3">
      <c r="A110" s="1">
        <v>43342</v>
      </c>
      <c r="B110" s="2">
        <v>6</v>
      </c>
      <c r="C110" s="2"/>
      <c r="D110" t="s">
        <v>54</v>
      </c>
      <c r="E110">
        <v>4</v>
      </c>
      <c r="F110" t="s">
        <v>4</v>
      </c>
      <c r="G110" s="4">
        <v>0.56499999999999995</v>
      </c>
      <c r="H110" s="4">
        <v>180</v>
      </c>
      <c r="K110" s="8">
        <v>3.7016</v>
      </c>
      <c r="L110" s="7">
        <v>0.11</v>
      </c>
      <c r="N110" s="7">
        <v>0.83</v>
      </c>
    </row>
    <row r="111" spans="1:19" x14ac:dyDescent="0.3">
      <c r="A111" s="1">
        <v>43349</v>
      </c>
      <c r="B111" s="2">
        <v>1</v>
      </c>
      <c r="C111" s="2"/>
      <c r="D111" t="s">
        <v>55</v>
      </c>
      <c r="E111">
        <v>3</v>
      </c>
      <c r="F111" t="s">
        <v>4</v>
      </c>
      <c r="G111" s="4">
        <v>0.51</v>
      </c>
      <c r="H111" s="4">
        <v>180</v>
      </c>
      <c r="K111" s="8">
        <v>3.4832000000000001</v>
      </c>
      <c r="L111" s="7">
        <v>0.1</v>
      </c>
      <c r="M111" s="7">
        <v>0.86</v>
      </c>
      <c r="N111" s="7">
        <v>0.8</v>
      </c>
    </row>
    <row r="112" spans="1:19" x14ac:dyDescent="0.3">
      <c r="A112" s="1">
        <v>43349</v>
      </c>
      <c r="B112" s="2">
        <v>2</v>
      </c>
      <c r="C112" s="2"/>
      <c r="D112" t="s">
        <v>55</v>
      </c>
      <c r="E112">
        <v>3</v>
      </c>
      <c r="F112" t="s">
        <v>4</v>
      </c>
      <c r="G112" s="4">
        <v>0.51</v>
      </c>
      <c r="H112" s="4">
        <v>180</v>
      </c>
      <c r="K112" s="8">
        <v>3.6598999999999999</v>
      </c>
      <c r="L112" s="7">
        <v>0.08</v>
      </c>
      <c r="M112" s="7">
        <v>0.86499999999999999</v>
      </c>
      <c r="N112" s="7">
        <v>0.71499999999999997</v>
      </c>
    </row>
    <row r="113" spans="1:30" x14ac:dyDescent="0.3">
      <c r="A113" s="1">
        <v>43349</v>
      </c>
      <c r="B113" s="2">
        <v>3</v>
      </c>
      <c r="C113" s="2"/>
      <c r="D113" t="s">
        <v>55</v>
      </c>
      <c r="E113">
        <v>3</v>
      </c>
      <c r="F113" t="s">
        <v>4</v>
      </c>
      <c r="G113" s="4">
        <v>0.51</v>
      </c>
      <c r="H113" s="4">
        <v>180</v>
      </c>
      <c r="K113" s="8">
        <v>3.4424999999999999</v>
      </c>
      <c r="L113" s="7">
        <v>0.09</v>
      </c>
      <c r="M113" s="7">
        <v>0.84499999999999997</v>
      </c>
      <c r="N113" s="7">
        <v>0.78</v>
      </c>
    </row>
    <row r="114" spans="1:30" x14ac:dyDescent="0.3">
      <c r="A114" s="1">
        <v>43349</v>
      </c>
      <c r="B114" s="2">
        <v>4</v>
      </c>
      <c r="C114" s="2"/>
      <c r="D114" t="s">
        <v>55</v>
      </c>
      <c r="E114">
        <v>3</v>
      </c>
      <c r="F114" t="s">
        <v>4</v>
      </c>
      <c r="G114" s="4">
        <v>0.51</v>
      </c>
      <c r="H114" s="4">
        <v>180</v>
      </c>
      <c r="K114" s="8">
        <v>3.5476000000000001</v>
      </c>
      <c r="L114" s="7">
        <v>8.3000000000000004E-2</v>
      </c>
      <c r="M114" s="11">
        <v>0.85</v>
      </c>
      <c r="N114" s="11">
        <v>0.79</v>
      </c>
    </row>
    <row r="115" spans="1:30" x14ac:dyDescent="0.3">
      <c r="A115" s="1">
        <v>43564</v>
      </c>
      <c r="B115" s="2">
        <v>1</v>
      </c>
      <c r="C115" s="2" t="s">
        <v>19</v>
      </c>
      <c r="D115" t="s">
        <v>57</v>
      </c>
      <c r="E115">
        <v>4</v>
      </c>
      <c r="F115" t="s">
        <v>11</v>
      </c>
      <c r="G115" s="4">
        <v>0.48299999999999998</v>
      </c>
      <c r="K115" s="8">
        <v>4.0110000000000001</v>
      </c>
      <c r="L115" s="7">
        <v>0.02</v>
      </c>
    </row>
    <row r="116" spans="1:30" x14ac:dyDescent="0.3">
      <c r="A116" s="1">
        <v>43564</v>
      </c>
      <c r="B116" s="2">
        <v>2</v>
      </c>
      <c r="C116" s="2" t="s">
        <v>19</v>
      </c>
      <c r="D116" t="s">
        <v>58</v>
      </c>
      <c r="E116">
        <v>4</v>
      </c>
      <c r="F116" t="s">
        <v>11</v>
      </c>
      <c r="G116" s="4">
        <v>0.48299999999999998</v>
      </c>
      <c r="K116" s="8">
        <v>3.9782000000000002</v>
      </c>
      <c r="L116" s="7">
        <v>1.4999999999999999E-2</v>
      </c>
    </row>
    <row r="117" spans="1:30" x14ac:dyDescent="0.3">
      <c r="A117" s="1">
        <v>43564</v>
      </c>
      <c r="B117" s="2">
        <v>3</v>
      </c>
      <c r="C117" s="2" t="s">
        <v>19</v>
      </c>
      <c r="D117" t="s">
        <v>57</v>
      </c>
      <c r="E117">
        <v>4</v>
      </c>
      <c r="F117" t="s">
        <v>11</v>
      </c>
      <c r="G117" s="4">
        <v>0.48299999999999998</v>
      </c>
      <c r="K117" s="8">
        <v>3.9954000000000001</v>
      </c>
      <c r="L117" s="7">
        <v>0.01</v>
      </c>
    </row>
    <row r="118" spans="1:30" x14ac:dyDescent="0.3">
      <c r="A118" s="1">
        <v>43564</v>
      </c>
      <c r="B118" s="2">
        <v>4</v>
      </c>
      <c r="C118" s="2" t="s">
        <v>19</v>
      </c>
      <c r="D118" t="s">
        <v>58</v>
      </c>
      <c r="E118">
        <v>4</v>
      </c>
      <c r="F118" t="s">
        <v>11</v>
      </c>
      <c r="G118" s="4">
        <v>0.48299999999999998</v>
      </c>
      <c r="K118" s="8">
        <v>4.0030000000000001</v>
      </c>
      <c r="L118" s="7">
        <v>0.01</v>
      </c>
    </row>
    <row r="119" spans="1:30" x14ac:dyDescent="0.3">
      <c r="A119" s="1">
        <v>43564</v>
      </c>
      <c r="B119" s="2">
        <v>5</v>
      </c>
      <c r="C119" s="2" t="s">
        <v>19</v>
      </c>
      <c r="D119" t="s">
        <v>57</v>
      </c>
      <c r="E119">
        <v>4</v>
      </c>
      <c r="F119" t="s">
        <v>11</v>
      </c>
      <c r="G119" s="4">
        <v>0.48299999999999998</v>
      </c>
      <c r="K119" s="8">
        <v>3.9878</v>
      </c>
      <c r="L119" s="7">
        <v>0.01</v>
      </c>
    </row>
    <row r="120" spans="1:30" x14ac:dyDescent="0.3">
      <c r="A120" s="1">
        <v>43564</v>
      </c>
      <c r="B120" s="2">
        <v>6</v>
      </c>
      <c r="C120" s="2" t="s">
        <v>19</v>
      </c>
      <c r="D120" t="s">
        <v>58</v>
      </c>
      <c r="E120">
        <v>4</v>
      </c>
      <c r="F120" t="s">
        <v>11</v>
      </c>
      <c r="G120" s="4">
        <v>0.48299999999999998</v>
      </c>
      <c r="K120" s="8">
        <v>3.915</v>
      </c>
      <c r="L120" s="7">
        <v>5.0000000000000001E-3</v>
      </c>
    </row>
    <row r="121" spans="1:30" x14ac:dyDescent="0.3">
      <c r="A121" s="1">
        <v>43564</v>
      </c>
      <c r="B121" s="2">
        <v>2</v>
      </c>
      <c r="C121" s="2" t="s">
        <v>20</v>
      </c>
      <c r="D121" t="s">
        <v>57</v>
      </c>
      <c r="E121">
        <v>4</v>
      </c>
      <c r="F121" t="s">
        <v>11</v>
      </c>
      <c r="G121" s="4">
        <v>0.4</v>
      </c>
      <c r="K121" s="8">
        <v>3.7787999999999999</v>
      </c>
      <c r="L121" s="7">
        <v>0</v>
      </c>
    </row>
    <row r="122" spans="1:30" x14ac:dyDescent="0.3">
      <c r="A122" s="1">
        <v>43564</v>
      </c>
      <c r="B122" s="2">
        <v>3</v>
      </c>
      <c r="C122" s="2" t="s">
        <v>20</v>
      </c>
      <c r="D122" t="s">
        <v>58</v>
      </c>
      <c r="E122">
        <v>4</v>
      </c>
      <c r="F122" t="s">
        <v>11</v>
      </c>
      <c r="G122" s="4">
        <v>0.4</v>
      </c>
      <c r="K122" s="8">
        <v>4.0202</v>
      </c>
      <c r="L122" s="7">
        <v>0</v>
      </c>
    </row>
    <row r="123" spans="1:30" x14ac:dyDescent="0.3">
      <c r="A123" s="1">
        <v>43564</v>
      </c>
      <c r="B123" s="2">
        <v>4</v>
      </c>
      <c r="C123" s="2" t="s">
        <v>20</v>
      </c>
      <c r="D123" t="s">
        <v>57</v>
      </c>
      <c r="E123">
        <v>4</v>
      </c>
      <c r="F123" t="s">
        <v>11</v>
      </c>
      <c r="G123" s="4">
        <v>0.4</v>
      </c>
      <c r="K123" s="8">
        <v>4.0479000000000003</v>
      </c>
      <c r="L123" s="7">
        <v>0</v>
      </c>
    </row>
    <row r="124" spans="1:30" x14ac:dyDescent="0.3">
      <c r="A124" s="1">
        <v>43564</v>
      </c>
      <c r="B124" s="2">
        <v>5</v>
      </c>
      <c r="C124" s="2" t="s">
        <v>20</v>
      </c>
      <c r="D124" t="s">
        <v>58</v>
      </c>
      <c r="E124">
        <v>4</v>
      </c>
      <c r="F124" t="s">
        <v>11</v>
      </c>
      <c r="G124" s="4">
        <v>0.4</v>
      </c>
      <c r="K124" s="8">
        <v>4.0848000000000004</v>
      </c>
      <c r="L124" s="7">
        <v>0</v>
      </c>
    </row>
    <row r="125" spans="1:30" s="14" customFormat="1" x14ac:dyDescent="0.3">
      <c r="A125" s="12">
        <v>43564</v>
      </c>
      <c r="B125" s="13">
        <v>6</v>
      </c>
      <c r="C125" s="13" t="s">
        <v>20</v>
      </c>
      <c r="D125" t="s">
        <v>57</v>
      </c>
      <c r="E125" s="14">
        <v>4</v>
      </c>
      <c r="F125" s="14" t="s">
        <v>11</v>
      </c>
      <c r="G125" s="15">
        <v>0.4</v>
      </c>
      <c r="H125" s="15"/>
      <c r="I125" s="15"/>
      <c r="J125" s="15"/>
      <c r="K125" s="16">
        <v>4.0335000000000001</v>
      </c>
      <c r="L125" s="11">
        <v>0</v>
      </c>
      <c r="M125" s="11"/>
      <c r="N125" s="11"/>
      <c r="O125" s="16"/>
      <c r="P125" s="16"/>
      <c r="R125" s="16"/>
    </row>
    <row r="126" spans="1:30" x14ac:dyDescent="0.3">
      <c r="A126" s="1">
        <v>43571</v>
      </c>
      <c r="B126" s="2">
        <v>1</v>
      </c>
      <c r="C126" s="2" t="s">
        <v>19</v>
      </c>
      <c r="D126" t="s">
        <v>59</v>
      </c>
      <c r="E126">
        <v>4</v>
      </c>
      <c r="F126" t="s">
        <v>11</v>
      </c>
      <c r="G126" s="4">
        <v>0.4</v>
      </c>
      <c r="H126" s="8"/>
      <c r="K126" s="8">
        <f>10.2453-6.0653</f>
        <v>4.1800000000000006</v>
      </c>
      <c r="L126" s="7">
        <v>0</v>
      </c>
      <c r="S126">
        <v>239</v>
      </c>
      <c r="T126">
        <v>25</v>
      </c>
      <c r="U126">
        <v>411</v>
      </c>
      <c r="V126">
        <v>48</v>
      </c>
      <c r="W126">
        <v>7</v>
      </c>
      <c r="X126" s="17">
        <f>R126/50*1000*10^3</f>
        <v>0</v>
      </c>
      <c r="Y126" s="17">
        <f>S126/50*1000*10^4</f>
        <v>47800000</v>
      </c>
      <c r="Z126" s="17">
        <f t="shared" ref="Z126:Z137" si="3">T126/50*1000*10^5</f>
        <v>50000000</v>
      </c>
      <c r="AA126" s="17">
        <f t="shared" ref="AA126:AA137" si="4">U126/50*1000*10^3</f>
        <v>8220000</v>
      </c>
      <c r="AB126" s="17">
        <f t="shared" ref="AB126:AB137" si="5">V126/50*1000*10^4</f>
        <v>9600000</v>
      </c>
      <c r="AC126" s="17">
        <f t="shared" ref="AC126:AC137" si="6">W126/50*1000*10^5</f>
        <v>14000000</v>
      </c>
      <c r="AD126" s="4">
        <f>AA126*K126/(Y126*7)</f>
        <v>0.10268858338314407</v>
      </c>
    </row>
    <row r="127" spans="1:30" x14ac:dyDescent="0.3">
      <c r="A127" s="1">
        <v>43571</v>
      </c>
      <c r="B127" s="2">
        <v>2</v>
      </c>
      <c r="C127" s="2" t="s">
        <v>19</v>
      </c>
      <c r="D127" t="s">
        <v>60</v>
      </c>
      <c r="E127">
        <v>4</v>
      </c>
      <c r="F127" t="s">
        <v>11</v>
      </c>
      <c r="G127" s="4">
        <v>0.4</v>
      </c>
      <c r="H127" s="8"/>
      <c r="K127" s="8">
        <f>10.2162-6.1252</f>
        <v>4.0910000000000002</v>
      </c>
      <c r="L127" s="7">
        <v>0</v>
      </c>
      <c r="S127">
        <v>206</v>
      </c>
      <c r="T127">
        <v>33</v>
      </c>
      <c r="U127">
        <v>490</v>
      </c>
      <c r="V127">
        <v>74</v>
      </c>
      <c r="W127">
        <v>4</v>
      </c>
      <c r="X127" s="17">
        <f t="shared" ref="X127:X137" si="7">R127/50*1000*10^3</f>
        <v>0</v>
      </c>
      <c r="Y127" s="17">
        <f t="shared" ref="Y127:Y128" si="8">S127/50*1000*10^4</f>
        <v>41200000</v>
      </c>
      <c r="Z127" s="17">
        <f t="shared" si="3"/>
        <v>66000000</v>
      </c>
      <c r="AA127" s="17">
        <f t="shared" si="4"/>
        <v>9800000</v>
      </c>
      <c r="AB127" s="17">
        <f t="shared" si="5"/>
        <v>14800000</v>
      </c>
      <c r="AC127" s="17">
        <f t="shared" si="6"/>
        <v>8000000</v>
      </c>
      <c r="AD127" s="4">
        <f t="shared" ref="AD127:AD135" si="9">AA127*K127/(Y127*7)</f>
        <v>0.13901456310679611</v>
      </c>
    </row>
    <row r="128" spans="1:30" x14ac:dyDescent="0.3">
      <c r="A128" s="1">
        <v>43571</v>
      </c>
      <c r="B128" s="2">
        <v>3</v>
      </c>
      <c r="C128" s="2" t="s">
        <v>19</v>
      </c>
      <c r="D128" t="s">
        <v>66</v>
      </c>
      <c r="E128">
        <v>4</v>
      </c>
      <c r="F128" t="s">
        <v>11</v>
      </c>
      <c r="G128" s="4">
        <v>0.4</v>
      </c>
      <c r="H128" s="8"/>
      <c r="K128" s="8">
        <f>10.2255-6.08</f>
        <v>4.1455000000000002</v>
      </c>
      <c r="L128" s="7">
        <v>1E-3</v>
      </c>
      <c r="S128">
        <v>276</v>
      </c>
      <c r="T128">
        <v>29</v>
      </c>
      <c r="U128">
        <v>486</v>
      </c>
      <c r="V128">
        <v>87</v>
      </c>
      <c r="W128">
        <v>6</v>
      </c>
      <c r="X128" s="17">
        <f t="shared" si="7"/>
        <v>0</v>
      </c>
      <c r="Y128" s="17">
        <f t="shared" si="8"/>
        <v>55200000</v>
      </c>
      <c r="Z128" s="17">
        <f t="shared" si="3"/>
        <v>58000000</v>
      </c>
      <c r="AA128" s="17">
        <f t="shared" si="4"/>
        <v>9720000</v>
      </c>
      <c r="AB128" s="17">
        <f t="shared" si="5"/>
        <v>17400000</v>
      </c>
      <c r="AC128" s="17">
        <f t="shared" si="6"/>
        <v>12000000</v>
      </c>
      <c r="AD128" s="4">
        <f t="shared" si="9"/>
        <v>0.10428121118012422</v>
      </c>
    </row>
    <row r="129" spans="1:30" x14ac:dyDescent="0.3">
      <c r="A129" s="1">
        <v>43571</v>
      </c>
      <c r="B129" s="2">
        <v>4</v>
      </c>
      <c r="C129" s="2" t="s">
        <v>19</v>
      </c>
      <c r="D129" t="s">
        <v>59</v>
      </c>
      <c r="E129">
        <v>4</v>
      </c>
      <c r="F129" t="s">
        <v>11</v>
      </c>
      <c r="G129" s="4">
        <v>0.4</v>
      </c>
      <c r="H129" s="8"/>
      <c r="K129" s="8">
        <f>9.8478-6.0909</f>
        <v>3.756899999999999</v>
      </c>
      <c r="L129" s="7">
        <v>0</v>
      </c>
      <c r="S129">
        <v>229</v>
      </c>
      <c r="T129">
        <v>26</v>
      </c>
      <c r="U129">
        <v>496</v>
      </c>
      <c r="V129">
        <v>67</v>
      </c>
      <c r="W129">
        <v>6</v>
      </c>
      <c r="X129" s="17">
        <f t="shared" si="7"/>
        <v>0</v>
      </c>
      <c r="Y129" s="17">
        <f t="shared" ref="Y129:Y137" si="10">S129/50*1000*10^4</f>
        <v>45800000</v>
      </c>
      <c r="Z129" s="17">
        <f t="shared" si="3"/>
        <v>52000000</v>
      </c>
      <c r="AA129" s="17">
        <f t="shared" si="4"/>
        <v>9920000</v>
      </c>
      <c r="AB129" s="17">
        <f t="shared" si="5"/>
        <v>13400000</v>
      </c>
      <c r="AC129" s="17">
        <f t="shared" si="6"/>
        <v>12000000</v>
      </c>
      <c r="AD129" s="4">
        <f t="shared" si="9"/>
        <v>0.11624593886462879</v>
      </c>
    </row>
    <row r="130" spans="1:30" x14ac:dyDescent="0.3">
      <c r="A130" s="1">
        <v>43571</v>
      </c>
      <c r="B130" s="2">
        <v>5</v>
      </c>
      <c r="C130" s="2" t="s">
        <v>19</v>
      </c>
      <c r="D130" t="s">
        <v>60</v>
      </c>
      <c r="E130">
        <v>4</v>
      </c>
      <c r="F130" t="s">
        <v>11</v>
      </c>
      <c r="G130" s="4">
        <v>0.4</v>
      </c>
      <c r="H130" s="8"/>
      <c r="K130" s="8">
        <f>10.0103-5.9315</f>
        <v>4.0788000000000011</v>
      </c>
      <c r="L130" s="7">
        <v>1E-3</v>
      </c>
      <c r="R130" s="8">
        <v>774</v>
      </c>
      <c r="S130">
        <v>222</v>
      </c>
      <c r="T130">
        <v>31</v>
      </c>
      <c r="U130">
        <v>489</v>
      </c>
      <c r="V130">
        <v>66</v>
      </c>
      <c r="W130">
        <v>9</v>
      </c>
      <c r="X130" s="17">
        <f t="shared" si="7"/>
        <v>15480000</v>
      </c>
      <c r="Y130" s="17">
        <f t="shared" si="10"/>
        <v>44400000</v>
      </c>
      <c r="Z130" s="17">
        <f t="shared" si="3"/>
        <v>62000000</v>
      </c>
      <c r="AA130" s="17">
        <f t="shared" si="4"/>
        <v>9780000</v>
      </c>
      <c r="AB130" s="17">
        <f t="shared" si="5"/>
        <v>13200000</v>
      </c>
      <c r="AC130" s="17">
        <f t="shared" si="6"/>
        <v>18000000</v>
      </c>
      <c r="AD130" s="4">
        <f t="shared" si="9"/>
        <v>0.12834833976833979</v>
      </c>
    </row>
    <row r="131" spans="1:30" x14ac:dyDescent="0.3">
      <c r="A131" s="1">
        <v>43571</v>
      </c>
      <c r="B131" s="2">
        <v>6</v>
      </c>
      <c r="C131" s="2" t="s">
        <v>19</v>
      </c>
      <c r="D131" t="s">
        <v>66</v>
      </c>
      <c r="E131">
        <v>4</v>
      </c>
      <c r="F131" t="s">
        <v>11</v>
      </c>
      <c r="G131" s="4">
        <v>0.4</v>
      </c>
      <c r="H131" s="8"/>
      <c r="K131" s="8">
        <f>10.37-6.0706</f>
        <v>4.2993999999999994</v>
      </c>
      <c r="L131" s="7">
        <v>1E-3</v>
      </c>
      <c r="R131" s="8">
        <v>750</v>
      </c>
      <c r="S131">
        <v>198</v>
      </c>
      <c r="T131">
        <v>18</v>
      </c>
      <c r="U131">
        <v>429</v>
      </c>
      <c r="V131">
        <v>72</v>
      </c>
      <c r="W131">
        <v>5</v>
      </c>
      <c r="X131" s="17">
        <f t="shared" si="7"/>
        <v>15000000</v>
      </c>
      <c r="Y131" s="17">
        <f t="shared" si="10"/>
        <v>39600000</v>
      </c>
      <c r="Z131" s="17">
        <f t="shared" si="3"/>
        <v>36000000</v>
      </c>
      <c r="AA131" s="17">
        <f t="shared" si="4"/>
        <v>8580000</v>
      </c>
      <c r="AB131" s="17">
        <f t="shared" si="5"/>
        <v>14400000</v>
      </c>
      <c r="AC131" s="17">
        <f t="shared" si="6"/>
        <v>10000000</v>
      </c>
      <c r="AD131" s="4">
        <f t="shared" si="9"/>
        <v>0.13307666666666665</v>
      </c>
    </row>
    <row r="132" spans="1:30" x14ac:dyDescent="0.3">
      <c r="A132" s="1">
        <v>43571</v>
      </c>
      <c r="B132" s="2">
        <v>1</v>
      </c>
      <c r="C132" s="2" t="s">
        <v>20</v>
      </c>
      <c r="D132" t="s">
        <v>66</v>
      </c>
      <c r="E132">
        <v>4</v>
      </c>
      <c r="F132" t="s">
        <v>11</v>
      </c>
      <c r="G132" s="4">
        <v>0.45</v>
      </c>
      <c r="H132" s="8"/>
      <c r="K132" s="8">
        <f>10.042-6.0564</f>
        <v>3.9855999999999998</v>
      </c>
      <c r="L132" s="7">
        <v>0</v>
      </c>
      <c r="S132">
        <v>123</v>
      </c>
      <c r="T132">
        <v>14</v>
      </c>
      <c r="U132">
        <v>392</v>
      </c>
      <c r="V132">
        <v>42</v>
      </c>
      <c r="W132">
        <v>4</v>
      </c>
      <c r="X132" s="17">
        <f t="shared" si="7"/>
        <v>0</v>
      </c>
      <c r="Y132" s="17">
        <f t="shared" si="10"/>
        <v>24600000</v>
      </c>
      <c r="Z132" s="17">
        <f t="shared" si="3"/>
        <v>28000000</v>
      </c>
      <c r="AA132" s="17">
        <f>U132/50*1000*10^3</f>
        <v>7840000</v>
      </c>
      <c r="AB132" s="17">
        <f t="shared" si="5"/>
        <v>8400000</v>
      </c>
      <c r="AC132" s="17">
        <f t="shared" si="6"/>
        <v>8000000</v>
      </c>
      <c r="AD132" s="4">
        <f>AA132*K132/(Y132*7)</f>
        <v>0.18145821138211382</v>
      </c>
    </row>
    <row r="133" spans="1:30" x14ac:dyDescent="0.3">
      <c r="A133" s="1">
        <v>43571</v>
      </c>
      <c r="B133" s="2">
        <v>2</v>
      </c>
      <c r="C133" s="2" t="s">
        <v>20</v>
      </c>
      <c r="D133" t="s">
        <v>59</v>
      </c>
      <c r="E133">
        <v>4</v>
      </c>
      <c r="F133" t="s">
        <v>11</v>
      </c>
      <c r="G133" s="4">
        <v>0.45</v>
      </c>
      <c r="H133" s="8"/>
      <c r="K133" s="8">
        <f>9.8601-6.0358</f>
        <v>3.8242999999999991</v>
      </c>
      <c r="L133" s="7">
        <v>0</v>
      </c>
      <c r="S133">
        <v>67</v>
      </c>
      <c r="T133">
        <v>4</v>
      </c>
      <c r="U133">
        <v>421</v>
      </c>
      <c r="V133">
        <v>56</v>
      </c>
      <c r="W133">
        <v>3</v>
      </c>
      <c r="X133" s="17">
        <f t="shared" si="7"/>
        <v>0</v>
      </c>
      <c r="Y133" s="17">
        <f t="shared" si="10"/>
        <v>13400000</v>
      </c>
      <c r="Z133" s="17">
        <f t="shared" si="3"/>
        <v>8000000</v>
      </c>
      <c r="AA133" s="17">
        <f t="shared" si="4"/>
        <v>8420000</v>
      </c>
      <c r="AB133" s="17">
        <f t="shared" si="5"/>
        <v>11200000</v>
      </c>
      <c r="AC133" s="17">
        <f t="shared" si="6"/>
        <v>6000000</v>
      </c>
      <c r="AD133" s="4">
        <f>AA133*K133/(Y133*7)</f>
        <v>0.34329004264392315</v>
      </c>
    </row>
    <row r="134" spans="1:30" x14ac:dyDescent="0.3">
      <c r="A134" s="1">
        <v>43571</v>
      </c>
      <c r="B134" s="2">
        <v>3</v>
      </c>
      <c r="C134" s="2" t="s">
        <v>20</v>
      </c>
      <c r="D134" t="s">
        <v>60</v>
      </c>
      <c r="E134">
        <v>4</v>
      </c>
      <c r="F134" t="s">
        <v>11</v>
      </c>
      <c r="G134" s="4">
        <v>0.45</v>
      </c>
      <c r="H134" s="8"/>
      <c r="K134" s="8">
        <f>10.3403-6.0875</f>
        <v>4.2527999999999988</v>
      </c>
      <c r="L134" s="7">
        <v>1E-3</v>
      </c>
      <c r="S134">
        <v>52</v>
      </c>
      <c r="T134">
        <v>5</v>
      </c>
      <c r="U134">
        <v>466</v>
      </c>
      <c r="V134">
        <v>77</v>
      </c>
      <c r="W134">
        <v>7</v>
      </c>
      <c r="X134" s="17">
        <f t="shared" si="7"/>
        <v>0</v>
      </c>
      <c r="Y134" s="17">
        <f t="shared" si="10"/>
        <v>10400000</v>
      </c>
      <c r="Z134" s="17">
        <f t="shared" si="3"/>
        <v>10000000</v>
      </c>
      <c r="AA134" s="17">
        <f t="shared" si="4"/>
        <v>9320000</v>
      </c>
      <c r="AB134" s="17">
        <f t="shared" si="5"/>
        <v>15400000</v>
      </c>
      <c r="AC134" s="17">
        <f t="shared" si="6"/>
        <v>14000000</v>
      </c>
      <c r="AD134" s="4">
        <f>AA134*K134/(Y134*7)</f>
        <v>0.54445186813186808</v>
      </c>
    </row>
    <row r="135" spans="1:30" x14ac:dyDescent="0.3">
      <c r="A135" s="1">
        <v>43571</v>
      </c>
      <c r="B135" s="2">
        <v>4</v>
      </c>
      <c r="C135" s="2" t="s">
        <v>20</v>
      </c>
      <c r="D135" t="s">
        <v>66</v>
      </c>
      <c r="E135">
        <v>4</v>
      </c>
      <c r="F135" t="s">
        <v>11</v>
      </c>
      <c r="G135" s="4">
        <v>0.45</v>
      </c>
      <c r="H135" s="8"/>
      <c r="K135" s="8">
        <f>9.87-6.0185</f>
        <v>3.8514999999999988</v>
      </c>
      <c r="L135" s="7">
        <v>0</v>
      </c>
      <c r="S135">
        <v>75</v>
      </c>
      <c r="T135">
        <v>33</v>
      </c>
      <c r="U135">
        <v>417</v>
      </c>
      <c r="V135">
        <v>76</v>
      </c>
      <c r="W135">
        <v>7</v>
      </c>
      <c r="X135" s="17">
        <f t="shared" si="7"/>
        <v>0</v>
      </c>
      <c r="Y135" s="17">
        <f t="shared" si="10"/>
        <v>15000000</v>
      </c>
      <c r="Z135" s="17">
        <f t="shared" si="3"/>
        <v>66000000</v>
      </c>
      <c r="AA135" s="17">
        <f t="shared" si="4"/>
        <v>8340000</v>
      </c>
      <c r="AB135" s="17">
        <f t="shared" si="5"/>
        <v>15200000</v>
      </c>
      <c r="AC135" s="17">
        <f t="shared" si="6"/>
        <v>14000000</v>
      </c>
      <c r="AD135" s="4">
        <f t="shared" si="9"/>
        <v>0.30591914285714278</v>
      </c>
    </row>
    <row r="136" spans="1:30" x14ac:dyDescent="0.3">
      <c r="A136" s="1">
        <v>43571</v>
      </c>
      <c r="B136" s="2">
        <v>5</v>
      </c>
      <c r="C136" s="2" t="s">
        <v>20</v>
      </c>
      <c r="D136" t="s">
        <v>59</v>
      </c>
      <c r="E136">
        <v>4</v>
      </c>
      <c r="F136" t="s">
        <v>11</v>
      </c>
      <c r="G136" s="4">
        <v>0.45</v>
      </c>
      <c r="H136" s="8"/>
      <c r="K136" s="8">
        <f>9.7643-6.1272</f>
        <v>3.6371000000000002</v>
      </c>
      <c r="L136" s="7">
        <v>0</v>
      </c>
      <c r="S136">
        <v>98</v>
      </c>
      <c r="T136">
        <v>5</v>
      </c>
      <c r="U136">
        <v>362</v>
      </c>
      <c r="V136">
        <v>56</v>
      </c>
      <c r="W136">
        <v>7</v>
      </c>
      <c r="X136" s="17">
        <f t="shared" si="7"/>
        <v>0</v>
      </c>
      <c r="Y136" s="17">
        <f t="shared" si="10"/>
        <v>19600000</v>
      </c>
      <c r="Z136" s="17">
        <f t="shared" si="3"/>
        <v>10000000</v>
      </c>
      <c r="AA136" s="17">
        <f t="shared" si="4"/>
        <v>7240000</v>
      </c>
      <c r="AB136" s="17">
        <f t="shared" si="5"/>
        <v>11200000</v>
      </c>
      <c r="AC136" s="17">
        <f t="shared" si="6"/>
        <v>14000000</v>
      </c>
      <c r="AD136" s="4">
        <f>AA136*K136/(Y136*7)</f>
        <v>0.19192860058309039</v>
      </c>
    </row>
    <row r="137" spans="1:30" x14ac:dyDescent="0.3">
      <c r="A137" s="1">
        <v>43571</v>
      </c>
      <c r="B137" s="2">
        <v>6</v>
      </c>
      <c r="C137" s="2" t="s">
        <v>20</v>
      </c>
      <c r="D137" t="s">
        <v>60</v>
      </c>
      <c r="E137">
        <v>4</v>
      </c>
      <c r="F137" t="s">
        <v>11</v>
      </c>
      <c r="G137" s="4">
        <v>0.45</v>
      </c>
      <c r="H137" s="8"/>
      <c r="K137" s="8">
        <f>10.2479-6.1058</f>
        <v>4.1420999999999992</v>
      </c>
      <c r="L137" s="7">
        <v>1E-3</v>
      </c>
      <c r="S137">
        <v>89</v>
      </c>
      <c r="T137">
        <v>8</v>
      </c>
      <c r="U137">
        <v>404</v>
      </c>
      <c r="V137">
        <v>60</v>
      </c>
      <c r="W137">
        <v>5</v>
      </c>
      <c r="X137" s="17">
        <f t="shared" si="7"/>
        <v>0</v>
      </c>
      <c r="Y137" s="17">
        <f t="shared" si="10"/>
        <v>17800000</v>
      </c>
      <c r="Z137" s="17">
        <f t="shared" si="3"/>
        <v>16000000</v>
      </c>
      <c r="AA137" s="17">
        <f t="shared" si="4"/>
        <v>8080000</v>
      </c>
      <c r="AB137" s="17">
        <f t="shared" si="5"/>
        <v>12000000</v>
      </c>
      <c r="AC137" s="17">
        <f t="shared" si="6"/>
        <v>10000000</v>
      </c>
      <c r="AD137" s="4">
        <f>AA137*K137/1.024/(Y137*7)</f>
        <v>0.26230945274879608</v>
      </c>
    </row>
    <row r="138" spans="1:30" x14ac:dyDescent="0.3">
      <c r="A138" s="1">
        <v>43587</v>
      </c>
      <c r="B138" s="2">
        <v>1</v>
      </c>
      <c r="C138" s="2" t="s">
        <v>35</v>
      </c>
      <c r="D138" t="s">
        <v>61</v>
      </c>
      <c r="E138">
        <v>4</v>
      </c>
      <c r="F138" t="s">
        <v>4</v>
      </c>
      <c r="G138" s="4">
        <v>0.56000000000000005</v>
      </c>
      <c r="K138" s="8">
        <f>10.0224-6.1343</f>
        <v>3.8880999999999997</v>
      </c>
      <c r="L138" s="7">
        <v>6.5000000000000002E-2</v>
      </c>
      <c r="S138">
        <v>227</v>
      </c>
      <c r="T138">
        <v>29</v>
      </c>
      <c r="V138">
        <v>101</v>
      </c>
      <c r="W138">
        <v>9</v>
      </c>
      <c r="X138" s="17">
        <f t="shared" ref="X138:X149" si="11">R138/50*1000*10^3</f>
        <v>0</v>
      </c>
      <c r="Y138" s="17">
        <f t="shared" ref="Y138:Y149" si="12">S138/50*1000*10^4</f>
        <v>45400000</v>
      </c>
      <c r="Z138" s="17">
        <f t="shared" ref="Z138:Z149" si="13">T138/50*1000*10^5</f>
        <v>58000000</v>
      </c>
      <c r="AA138" s="17">
        <f>U138/50*1000*10^3</f>
        <v>0</v>
      </c>
      <c r="AB138" s="17">
        <f t="shared" ref="AB138:AB149" si="14">V138/50*1000*10^4</f>
        <v>20200000</v>
      </c>
      <c r="AC138" s="17">
        <f t="shared" ref="AC138:AC149" si="15">W138/50*1000*10^5</f>
        <v>18000000</v>
      </c>
      <c r="AD138" s="4">
        <f>AB138*K138/(Y138*7)</f>
        <v>0.24713536815607301</v>
      </c>
    </row>
    <row r="139" spans="1:30" x14ac:dyDescent="0.3">
      <c r="A139" s="1">
        <v>43587</v>
      </c>
      <c r="B139" s="2">
        <v>2</v>
      </c>
      <c r="C139" s="2" t="s">
        <v>35</v>
      </c>
      <c r="D139" t="s">
        <v>62</v>
      </c>
      <c r="E139">
        <v>4</v>
      </c>
      <c r="F139" t="s">
        <v>4</v>
      </c>
      <c r="G139" s="4">
        <v>0.56000000000000005</v>
      </c>
      <c r="K139" s="8">
        <f>9.2132-6.0331</f>
        <v>3.1801000000000004</v>
      </c>
      <c r="L139" s="7">
        <v>8.0000000000000002E-3</v>
      </c>
      <c r="S139">
        <v>239</v>
      </c>
      <c r="T139">
        <v>32</v>
      </c>
      <c r="V139">
        <v>85</v>
      </c>
      <c r="W139">
        <v>5</v>
      </c>
      <c r="X139" s="17">
        <f t="shared" si="11"/>
        <v>0</v>
      </c>
      <c r="Y139" s="17">
        <f t="shared" si="12"/>
        <v>47800000</v>
      </c>
      <c r="Z139" s="17">
        <f t="shared" si="13"/>
        <v>64000000</v>
      </c>
      <c r="AA139" s="17">
        <f t="shared" ref="AA139:AA149" si="16">U139/50*1000*10^3</f>
        <v>0</v>
      </c>
      <c r="AB139" s="17">
        <f t="shared" si="14"/>
        <v>17000000</v>
      </c>
      <c r="AC139" s="17">
        <f t="shared" si="15"/>
        <v>10000000</v>
      </c>
      <c r="AD139" s="4">
        <f t="shared" ref="AD139:AD148" si="17">AB139*K139/(Y139*7)</f>
        <v>0.16157112970711299</v>
      </c>
    </row>
    <row r="140" spans="1:30" x14ac:dyDescent="0.3">
      <c r="A140" s="1">
        <v>43587</v>
      </c>
      <c r="B140" s="2">
        <v>3</v>
      </c>
      <c r="C140" s="2" t="s">
        <v>35</v>
      </c>
      <c r="D140" t="s">
        <v>63</v>
      </c>
      <c r="E140">
        <v>4</v>
      </c>
      <c r="F140" t="s">
        <v>4</v>
      </c>
      <c r="G140" s="4">
        <v>0.56000000000000005</v>
      </c>
      <c r="K140" s="8">
        <f>9.7443-6.0381</f>
        <v>3.7062000000000008</v>
      </c>
      <c r="L140" s="7">
        <v>4.0000000000000001E-3</v>
      </c>
      <c r="S140">
        <v>274</v>
      </c>
      <c r="T140">
        <v>18</v>
      </c>
      <c r="V140">
        <v>150</v>
      </c>
      <c r="W140">
        <v>9</v>
      </c>
      <c r="X140" s="17">
        <f t="shared" si="11"/>
        <v>0</v>
      </c>
      <c r="Y140" s="17">
        <f t="shared" si="12"/>
        <v>54800000</v>
      </c>
      <c r="Z140" s="17">
        <f t="shared" si="13"/>
        <v>36000000</v>
      </c>
      <c r="AA140" s="17">
        <f t="shared" si="16"/>
        <v>0</v>
      </c>
      <c r="AB140" s="17">
        <f t="shared" si="14"/>
        <v>30000000</v>
      </c>
      <c r="AC140" s="17">
        <f t="shared" si="15"/>
        <v>18000000</v>
      </c>
      <c r="AD140" s="4">
        <f t="shared" si="17"/>
        <v>0.28984880083420239</v>
      </c>
    </row>
    <row r="141" spans="1:30" x14ac:dyDescent="0.3">
      <c r="A141" s="1">
        <v>43587</v>
      </c>
      <c r="B141" s="2">
        <v>4</v>
      </c>
      <c r="C141" s="2" t="s">
        <v>35</v>
      </c>
      <c r="D141" t="s">
        <v>61</v>
      </c>
      <c r="E141">
        <v>4</v>
      </c>
      <c r="F141" t="s">
        <v>4</v>
      </c>
      <c r="G141" s="4">
        <v>0.56000000000000005</v>
      </c>
      <c r="K141" s="8">
        <f>10.2184-6.1569</f>
        <v>4.0615000000000006</v>
      </c>
      <c r="L141" s="7">
        <v>7.0000000000000007E-2</v>
      </c>
      <c r="S141">
        <v>232</v>
      </c>
      <c r="T141">
        <v>23</v>
      </c>
      <c r="V141">
        <v>143</v>
      </c>
      <c r="W141">
        <v>17</v>
      </c>
      <c r="X141" s="17">
        <f t="shared" si="11"/>
        <v>0</v>
      </c>
      <c r="Y141" s="17">
        <f t="shared" si="12"/>
        <v>46400000</v>
      </c>
      <c r="Z141" s="17">
        <f t="shared" si="13"/>
        <v>46000000</v>
      </c>
      <c r="AA141" s="17">
        <f t="shared" si="16"/>
        <v>0</v>
      </c>
      <c r="AB141" s="17">
        <f t="shared" si="14"/>
        <v>28600000</v>
      </c>
      <c r="AC141" s="17">
        <f t="shared" si="15"/>
        <v>34000000</v>
      </c>
      <c r="AD141" s="4">
        <f t="shared" si="17"/>
        <v>0.35763208128078822</v>
      </c>
    </row>
    <row r="142" spans="1:30" x14ac:dyDescent="0.3">
      <c r="A142" s="1">
        <v>43587</v>
      </c>
      <c r="B142" s="2">
        <v>5</v>
      </c>
      <c r="C142" s="2" t="s">
        <v>35</v>
      </c>
      <c r="D142" t="s">
        <v>62</v>
      </c>
      <c r="E142">
        <v>4</v>
      </c>
      <c r="F142" t="s">
        <v>4</v>
      </c>
      <c r="G142" s="4">
        <v>0.56000000000000005</v>
      </c>
      <c r="K142" s="8">
        <f>9.4637-6.0543</f>
        <v>3.4093999999999998</v>
      </c>
      <c r="L142" s="7">
        <v>5.0000000000000001E-3</v>
      </c>
      <c r="S142">
        <v>267</v>
      </c>
      <c r="T142">
        <v>44</v>
      </c>
      <c r="V142">
        <v>86</v>
      </c>
      <c r="W142">
        <v>15</v>
      </c>
      <c r="X142" s="17">
        <f t="shared" si="11"/>
        <v>0</v>
      </c>
      <c r="Y142" s="17">
        <f t="shared" si="12"/>
        <v>53400000</v>
      </c>
      <c r="Z142" s="17">
        <f t="shared" si="13"/>
        <v>88000000</v>
      </c>
      <c r="AA142" s="17">
        <f t="shared" si="16"/>
        <v>0</v>
      </c>
      <c r="AB142" s="17">
        <f t="shared" si="14"/>
        <v>17200000</v>
      </c>
      <c r="AC142" s="17">
        <f t="shared" si="15"/>
        <v>30000000</v>
      </c>
      <c r="AD142" s="4">
        <f t="shared" si="17"/>
        <v>0.15687982878544673</v>
      </c>
    </row>
    <row r="143" spans="1:30" x14ac:dyDescent="0.3">
      <c r="A143" s="1">
        <v>43587</v>
      </c>
      <c r="B143" s="2">
        <v>6</v>
      </c>
      <c r="C143" s="2" t="s">
        <v>35</v>
      </c>
      <c r="D143" t="s">
        <v>63</v>
      </c>
      <c r="E143">
        <v>4</v>
      </c>
      <c r="F143" t="s">
        <v>4</v>
      </c>
      <c r="G143" s="4">
        <v>0.56000000000000005</v>
      </c>
      <c r="K143" s="8">
        <f>9.9504-6.0779</f>
        <v>3.8725000000000005</v>
      </c>
      <c r="L143" s="7">
        <v>4.4999999999999998E-2</v>
      </c>
      <c r="S143">
        <v>221</v>
      </c>
      <c r="T143">
        <v>31</v>
      </c>
      <c r="V143">
        <v>160</v>
      </c>
      <c r="W143">
        <v>16</v>
      </c>
      <c r="X143" s="17">
        <f t="shared" si="11"/>
        <v>0</v>
      </c>
      <c r="Y143" s="17">
        <f t="shared" si="12"/>
        <v>44200000</v>
      </c>
      <c r="Z143" s="17">
        <f t="shared" si="13"/>
        <v>62000000</v>
      </c>
      <c r="AA143" s="17">
        <f t="shared" si="16"/>
        <v>0</v>
      </c>
      <c r="AB143" s="17">
        <f t="shared" si="14"/>
        <v>32000000</v>
      </c>
      <c r="AC143" s="17">
        <f t="shared" si="15"/>
        <v>32000000</v>
      </c>
      <c r="AD143" s="4">
        <f t="shared" si="17"/>
        <v>0.40051712992889471</v>
      </c>
    </row>
    <row r="144" spans="1:30" x14ac:dyDescent="0.3">
      <c r="A144" s="1">
        <v>43587</v>
      </c>
      <c r="B144" s="2">
        <v>1</v>
      </c>
      <c r="C144" s="2" t="s">
        <v>36</v>
      </c>
      <c r="D144" t="s">
        <v>61</v>
      </c>
      <c r="E144">
        <v>4</v>
      </c>
      <c r="F144" t="s">
        <v>11</v>
      </c>
      <c r="G144" s="4">
        <v>0.41499999999999998</v>
      </c>
      <c r="I144"/>
      <c r="K144" s="8">
        <f>10.2134-6.014</f>
        <v>4.1993999999999998</v>
      </c>
      <c r="L144" s="7">
        <v>0</v>
      </c>
      <c r="S144">
        <v>252</v>
      </c>
      <c r="T144">
        <v>34</v>
      </c>
      <c r="V144">
        <v>133</v>
      </c>
      <c r="W144">
        <v>15</v>
      </c>
      <c r="X144" s="17">
        <f t="shared" si="11"/>
        <v>0</v>
      </c>
      <c r="Y144" s="17">
        <f t="shared" si="12"/>
        <v>50400000</v>
      </c>
      <c r="Z144" s="17">
        <f t="shared" si="13"/>
        <v>68000000</v>
      </c>
      <c r="AA144" s="17">
        <f t="shared" si="16"/>
        <v>0</v>
      </c>
      <c r="AB144" s="17">
        <f t="shared" si="14"/>
        <v>26600000</v>
      </c>
      <c r="AC144" s="17">
        <f t="shared" si="15"/>
        <v>30000000</v>
      </c>
      <c r="AD144" s="4">
        <f t="shared" si="17"/>
        <v>0.31662142857142855</v>
      </c>
    </row>
    <row r="145" spans="1:30" x14ac:dyDescent="0.3">
      <c r="A145" s="1">
        <v>43587</v>
      </c>
      <c r="B145" s="2">
        <v>2</v>
      </c>
      <c r="C145" s="2" t="s">
        <v>36</v>
      </c>
      <c r="D145" t="s">
        <v>63</v>
      </c>
      <c r="E145">
        <v>4</v>
      </c>
      <c r="F145" t="s">
        <v>11</v>
      </c>
      <c r="G145" s="4">
        <v>0.41499999999999998</v>
      </c>
      <c r="I145"/>
      <c r="K145" s="8">
        <f>10.2447-6.1587</f>
        <v>4.0860000000000003</v>
      </c>
      <c r="L145" s="7">
        <v>0</v>
      </c>
      <c r="S145">
        <v>250</v>
      </c>
      <c r="T145">
        <v>28</v>
      </c>
      <c r="V145">
        <v>96</v>
      </c>
      <c r="W145">
        <v>4</v>
      </c>
      <c r="X145" s="17">
        <f t="shared" si="11"/>
        <v>0</v>
      </c>
      <c r="Y145" s="17">
        <f t="shared" si="12"/>
        <v>50000000</v>
      </c>
      <c r="Z145" s="17">
        <f t="shared" si="13"/>
        <v>56000000</v>
      </c>
      <c r="AA145" s="17">
        <f t="shared" si="16"/>
        <v>0</v>
      </c>
      <c r="AB145" s="17">
        <f t="shared" si="14"/>
        <v>19200000</v>
      </c>
      <c r="AC145" s="17">
        <f t="shared" si="15"/>
        <v>8000000</v>
      </c>
      <c r="AD145" s="4">
        <f t="shared" si="17"/>
        <v>0.22414628571428571</v>
      </c>
    </row>
    <row r="146" spans="1:30" x14ac:dyDescent="0.3">
      <c r="A146" s="1">
        <v>43587</v>
      </c>
      <c r="B146" s="2">
        <v>3</v>
      </c>
      <c r="C146" s="2" t="s">
        <v>36</v>
      </c>
      <c r="D146" t="s">
        <v>62</v>
      </c>
      <c r="E146">
        <v>4</v>
      </c>
      <c r="F146" t="s">
        <v>11</v>
      </c>
      <c r="G146" s="4">
        <v>0.41499999999999998</v>
      </c>
      <c r="I146"/>
      <c r="K146" s="8">
        <f>8.9526-6.0303</f>
        <v>2.9222999999999999</v>
      </c>
      <c r="L146" s="7">
        <v>0</v>
      </c>
      <c r="S146">
        <v>204</v>
      </c>
      <c r="T146">
        <v>34</v>
      </c>
      <c r="V146">
        <v>117</v>
      </c>
      <c r="W146">
        <v>12</v>
      </c>
      <c r="X146" s="17">
        <f t="shared" si="11"/>
        <v>0</v>
      </c>
      <c r="Y146" s="17">
        <f t="shared" si="12"/>
        <v>40800000</v>
      </c>
      <c r="Z146" s="17">
        <f t="shared" si="13"/>
        <v>68000000</v>
      </c>
      <c r="AA146" s="17">
        <f t="shared" si="16"/>
        <v>0</v>
      </c>
      <c r="AB146" s="17">
        <f t="shared" si="14"/>
        <v>23400000</v>
      </c>
      <c r="AC146" s="17">
        <f t="shared" si="15"/>
        <v>24000000</v>
      </c>
      <c r="AD146" s="4">
        <f t="shared" si="17"/>
        <v>0.23943214285714284</v>
      </c>
    </row>
    <row r="147" spans="1:30" x14ac:dyDescent="0.3">
      <c r="A147" s="1">
        <v>43587</v>
      </c>
      <c r="B147" s="2">
        <v>4</v>
      </c>
      <c r="C147" s="2" t="s">
        <v>36</v>
      </c>
      <c r="D147" t="s">
        <v>61</v>
      </c>
      <c r="E147">
        <v>4</v>
      </c>
      <c r="F147" t="s">
        <v>11</v>
      </c>
      <c r="G147" s="4">
        <v>0.41499999999999998</v>
      </c>
      <c r="K147" s="8">
        <f>10.2938-6.0305</f>
        <v>4.2632999999999992</v>
      </c>
      <c r="L147" s="7">
        <v>0</v>
      </c>
      <c r="S147">
        <v>260</v>
      </c>
      <c r="T147">
        <v>33</v>
      </c>
      <c r="V147">
        <v>111</v>
      </c>
      <c r="W147">
        <v>10</v>
      </c>
      <c r="X147" s="17">
        <f t="shared" si="11"/>
        <v>0</v>
      </c>
      <c r="Y147" s="17">
        <f t="shared" si="12"/>
        <v>52000000</v>
      </c>
      <c r="Z147" s="17">
        <f t="shared" si="13"/>
        <v>66000000</v>
      </c>
      <c r="AA147" s="17">
        <f t="shared" si="16"/>
        <v>0</v>
      </c>
      <c r="AB147" s="17">
        <f t="shared" si="14"/>
        <v>22200000</v>
      </c>
      <c r="AC147" s="17">
        <f t="shared" si="15"/>
        <v>20000000</v>
      </c>
      <c r="AD147" s="4">
        <f t="shared" si="17"/>
        <v>0.26001445054945049</v>
      </c>
    </row>
    <row r="148" spans="1:30" x14ac:dyDescent="0.3">
      <c r="A148" s="1">
        <v>43587</v>
      </c>
      <c r="B148" s="2">
        <v>5</v>
      </c>
      <c r="C148" s="2" t="s">
        <v>36</v>
      </c>
      <c r="D148" t="s">
        <v>63</v>
      </c>
      <c r="E148">
        <v>4</v>
      </c>
      <c r="F148" t="s">
        <v>11</v>
      </c>
      <c r="G148" s="4">
        <v>0.41499999999999998</v>
      </c>
      <c r="K148" s="8">
        <f>10.161-6.1216</f>
        <v>4.0393999999999997</v>
      </c>
      <c r="L148" s="7">
        <v>0</v>
      </c>
      <c r="S148">
        <v>242</v>
      </c>
      <c r="T148">
        <v>41</v>
      </c>
      <c r="V148">
        <v>80</v>
      </c>
      <c r="W148">
        <v>7</v>
      </c>
      <c r="X148" s="17">
        <f t="shared" si="11"/>
        <v>0</v>
      </c>
      <c r="Y148" s="17">
        <f t="shared" si="12"/>
        <v>48400000</v>
      </c>
      <c r="Z148" s="17">
        <f t="shared" si="13"/>
        <v>82000000</v>
      </c>
      <c r="AA148" s="17">
        <f t="shared" si="16"/>
        <v>0</v>
      </c>
      <c r="AB148" s="17">
        <f t="shared" si="14"/>
        <v>16000000</v>
      </c>
      <c r="AC148" s="17">
        <f t="shared" si="15"/>
        <v>14000000</v>
      </c>
      <c r="AD148" s="4">
        <f t="shared" si="17"/>
        <v>0.19076269185360092</v>
      </c>
    </row>
    <row r="149" spans="1:30" x14ac:dyDescent="0.3">
      <c r="A149" s="1">
        <v>43587</v>
      </c>
      <c r="B149" s="2">
        <v>6</v>
      </c>
      <c r="C149" s="2" t="s">
        <v>36</v>
      </c>
      <c r="D149" t="s">
        <v>62</v>
      </c>
      <c r="E149">
        <v>4</v>
      </c>
      <c r="F149" t="s">
        <v>11</v>
      </c>
      <c r="G149" s="4">
        <v>0.41499999999999998</v>
      </c>
      <c r="K149" s="8">
        <f>9.5773-6.0861</f>
        <v>3.4911999999999992</v>
      </c>
      <c r="L149" s="7">
        <v>0</v>
      </c>
      <c r="S149">
        <v>261</v>
      </c>
      <c r="T149">
        <v>24</v>
      </c>
      <c r="V149">
        <v>111</v>
      </c>
      <c r="W149">
        <v>13</v>
      </c>
      <c r="X149" s="17">
        <f t="shared" si="11"/>
        <v>0</v>
      </c>
      <c r="Y149" s="17">
        <f t="shared" si="12"/>
        <v>52200000</v>
      </c>
      <c r="Z149" s="17">
        <f t="shared" si="13"/>
        <v>48000000</v>
      </c>
      <c r="AA149" s="17">
        <f t="shared" si="16"/>
        <v>0</v>
      </c>
      <c r="AB149" s="17">
        <f t="shared" si="14"/>
        <v>22200000</v>
      </c>
      <c r="AC149" s="17">
        <f t="shared" si="15"/>
        <v>26000000</v>
      </c>
      <c r="AD149" s="4">
        <f>AB149*K149/(Y149*7)</f>
        <v>0.21210903119868632</v>
      </c>
    </row>
    <row r="150" spans="1:30" x14ac:dyDescent="0.3">
      <c r="A150" s="1">
        <v>43614</v>
      </c>
      <c r="B150" s="2">
        <v>1</v>
      </c>
      <c r="C150" s="2" t="s">
        <v>48</v>
      </c>
      <c r="D150" t="s">
        <v>61</v>
      </c>
      <c r="E150">
        <v>4</v>
      </c>
      <c r="F150" t="s">
        <v>11</v>
      </c>
      <c r="G150" s="4">
        <v>0.46500000000000002</v>
      </c>
      <c r="K150" s="8">
        <f>9.7563-6.1485</f>
        <v>3.6077999999999992</v>
      </c>
      <c r="L150" s="7">
        <v>1E-3</v>
      </c>
    </row>
    <row r="151" spans="1:30" x14ac:dyDescent="0.3">
      <c r="A151" s="1">
        <v>43614</v>
      </c>
      <c r="B151" s="2">
        <v>2</v>
      </c>
      <c r="C151" s="2" t="s">
        <v>48</v>
      </c>
      <c r="D151" t="s">
        <v>64</v>
      </c>
      <c r="E151">
        <v>4</v>
      </c>
      <c r="F151" t="s">
        <v>11</v>
      </c>
      <c r="G151" s="4">
        <v>0.46500000000000002</v>
      </c>
      <c r="K151" s="8">
        <f>9.5361-6.0696</f>
        <v>3.466499999999999</v>
      </c>
      <c r="L151" s="7">
        <v>0</v>
      </c>
    </row>
    <row r="152" spans="1:30" x14ac:dyDescent="0.3">
      <c r="A152" s="1">
        <v>43614</v>
      </c>
      <c r="B152" s="2">
        <v>3</v>
      </c>
      <c r="C152" s="2" t="s">
        <v>48</v>
      </c>
      <c r="D152" t="s">
        <v>61</v>
      </c>
      <c r="E152">
        <v>4</v>
      </c>
      <c r="F152" t="s">
        <v>11</v>
      </c>
      <c r="G152" s="4">
        <v>0.46500000000000002</v>
      </c>
      <c r="K152" s="8">
        <f>10.1085-6.0936</f>
        <v>4.014899999999999</v>
      </c>
      <c r="L152" s="7">
        <v>3.0000000000000001E-3</v>
      </c>
    </row>
    <row r="153" spans="1:30" x14ac:dyDescent="0.3">
      <c r="A153" s="1">
        <v>43614</v>
      </c>
      <c r="B153" s="2">
        <v>4</v>
      </c>
      <c r="C153" s="2" t="s">
        <v>48</v>
      </c>
      <c r="D153" t="s">
        <v>64</v>
      </c>
      <c r="E153">
        <v>4</v>
      </c>
      <c r="F153" t="s">
        <v>11</v>
      </c>
      <c r="G153" s="4">
        <v>0.46500000000000002</v>
      </c>
      <c r="K153" s="8">
        <f>9.9247-6.343</f>
        <v>3.5816999999999997</v>
      </c>
      <c r="L153" s="7">
        <v>3.0000000000000001E-3</v>
      </c>
    </row>
    <row r="154" spans="1:30" x14ac:dyDescent="0.3">
      <c r="A154" s="1">
        <v>43614</v>
      </c>
      <c r="B154" s="2">
        <v>5</v>
      </c>
      <c r="C154" s="2" t="s">
        <v>48</v>
      </c>
      <c r="D154" t="s">
        <v>64</v>
      </c>
      <c r="E154">
        <v>4</v>
      </c>
      <c r="F154" t="s">
        <v>11</v>
      </c>
      <c r="G154" s="4">
        <v>0.495</v>
      </c>
      <c r="K154" s="8">
        <f>9.6909-6.0477</f>
        <v>3.6431999999999993</v>
      </c>
      <c r="L154" s="7">
        <v>5.0000000000000001E-3</v>
      </c>
    </row>
    <row r="155" spans="1:30" x14ac:dyDescent="0.3">
      <c r="A155" s="1">
        <v>43614</v>
      </c>
      <c r="B155" s="2">
        <v>6</v>
      </c>
      <c r="C155" s="2" t="s">
        <v>48</v>
      </c>
      <c r="D155" t="s">
        <v>61</v>
      </c>
      <c r="E155">
        <v>4</v>
      </c>
      <c r="F155" t="s">
        <v>11</v>
      </c>
      <c r="G155" s="4">
        <v>0.495</v>
      </c>
      <c r="K155" s="8">
        <f>10.2888-6.275</f>
        <v>4.0137999999999998</v>
      </c>
      <c r="L155" s="7">
        <v>0.02</v>
      </c>
    </row>
    <row r="156" spans="1:30" x14ac:dyDescent="0.3">
      <c r="A156" s="1">
        <v>43614</v>
      </c>
      <c r="B156" s="2">
        <v>7</v>
      </c>
      <c r="C156" s="2" t="s">
        <v>11</v>
      </c>
      <c r="D156" t="s">
        <v>64</v>
      </c>
      <c r="E156">
        <v>4</v>
      </c>
      <c r="F156" t="s">
        <v>4</v>
      </c>
      <c r="G156" s="4">
        <v>0.56999999999999995</v>
      </c>
      <c r="K156" s="8">
        <f>9.1775-6.1127</f>
        <v>3.0648</v>
      </c>
      <c r="L156" s="7">
        <v>0.04</v>
      </c>
    </row>
    <row r="157" spans="1:30" x14ac:dyDescent="0.3">
      <c r="A157" s="1">
        <v>43614</v>
      </c>
      <c r="B157" s="2">
        <v>8</v>
      </c>
      <c r="C157" s="2" t="s">
        <v>11</v>
      </c>
      <c r="D157" t="s">
        <v>61</v>
      </c>
      <c r="E157">
        <v>4</v>
      </c>
      <c r="F157" t="s">
        <v>4</v>
      </c>
      <c r="G157" s="4">
        <v>0.56999999999999995</v>
      </c>
      <c r="K157" s="8">
        <f>9.9305-6.074</f>
        <v>3.8565000000000005</v>
      </c>
      <c r="L157" s="7">
        <v>0.09</v>
      </c>
    </row>
    <row r="158" spans="1:30" x14ac:dyDescent="0.3">
      <c r="A158" s="1">
        <v>43614</v>
      </c>
      <c r="B158" s="2">
        <v>9</v>
      </c>
      <c r="C158" s="2" t="s">
        <v>11</v>
      </c>
      <c r="D158" t="s">
        <v>64</v>
      </c>
      <c r="E158">
        <v>4</v>
      </c>
      <c r="F158" t="s">
        <v>4</v>
      </c>
      <c r="G158" s="4">
        <v>0.52500000000000002</v>
      </c>
      <c r="K158" s="8">
        <f>9.6934-6.1768</f>
        <v>3.5166000000000004</v>
      </c>
      <c r="L158" s="7">
        <v>1E-3</v>
      </c>
    </row>
    <row r="159" spans="1:30" x14ac:dyDescent="0.3">
      <c r="A159" s="1">
        <v>43614</v>
      </c>
      <c r="B159" s="2">
        <v>10</v>
      </c>
      <c r="C159" s="2" t="s">
        <v>11</v>
      </c>
      <c r="D159" t="s">
        <v>61</v>
      </c>
      <c r="E159">
        <v>4</v>
      </c>
      <c r="F159" t="s">
        <v>4</v>
      </c>
      <c r="G159" s="4">
        <v>0.52500000000000002</v>
      </c>
      <c r="K159" s="8">
        <f>10.1077-6.241</f>
        <v>3.8666999999999998</v>
      </c>
      <c r="L159" s="7">
        <v>0.03</v>
      </c>
    </row>
    <row r="160" spans="1:30" x14ac:dyDescent="0.3">
      <c r="A160" s="1">
        <v>43614</v>
      </c>
      <c r="B160" s="2">
        <v>11</v>
      </c>
      <c r="C160" s="2" t="s">
        <v>11</v>
      </c>
      <c r="D160" t="s">
        <v>64</v>
      </c>
      <c r="E160">
        <v>4</v>
      </c>
      <c r="F160" t="s">
        <v>4</v>
      </c>
      <c r="G160" s="4">
        <v>0.47499999999999998</v>
      </c>
      <c r="K160" s="8">
        <f>9.547-6.2418</f>
        <v>3.305200000000001</v>
      </c>
      <c r="L160" s="7">
        <v>0</v>
      </c>
    </row>
    <row r="161" spans="1:12" x14ac:dyDescent="0.3">
      <c r="A161" s="1">
        <v>43614</v>
      </c>
      <c r="B161" s="2">
        <v>12</v>
      </c>
      <c r="C161" s="2" t="s">
        <v>11</v>
      </c>
      <c r="D161" t="s">
        <v>61</v>
      </c>
      <c r="E161">
        <v>4</v>
      </c>
      <c r="F161" t="s">
        <v>4</v>
      </c>
      <c r="G161" s="4">
        <v>0.47499999999999998</v>
      </c>
      <c r="K161" s="8">
        <f>9.965-6.0525</f>
        <v>3.9124999999999996</v>
      </c>
      <c r="L161" s="7">
        <v>5.0000000000000001E-3</v>
      </c>
    </row>
  </sheetData>
  <autoFilter ref="A1:L149" xr:uid="{E5349DC5-4F02-4C46-B93E-1F90ACDCA079}"/>
  <phoneticPr fontId="7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C5C-D41F-4B0C-8A99-2AB3477DF589}">
  <dimension ref="A1:AE61"/>
  <sheetViews>
    <sheetView workbookViewId="0">
      <pane ySplit="1" topLeftCell="A12" activePane="bottomLeft" state="frozen"/>
      <selection pane="bottomLeft" activeCell="Z48" sqref="Z48"/>
    </sheetView>
  </sheetViews>
  <sheetFormatPr defaultRowHeight="14.4" x14ac:dyDescent="0.3"/>
  <cols>
    <col min="1" max="1" width="9.5546875" style="18" bestFit="1" customWidth="1"/>
    <col min="2" max="2" width="4.6640625" style="18" bestFit="1" customWidth="1"/>
    <col min="3" max="3" width="6.109375" style="18" bestFit="1" customWidth="1"/>
    <col min="4" max="4" width="10.88671875" style="18" bestFit="1" customWidth="1"/>
    <col min="5" max="5" width="9.44140625" style="18" bestFit="1" customWidth="1"/>
    <col min="6" max="6" width="9.44140625" style="18" customWidth="1"/>
    <col min="7" max="7" width="9.33203125" style="18" customWidth="1"/>
    <col min="8" max="8" width="3.77734375" style="18" bestFit="1" customWidth="1"/>
    <col min="9" max="9" width="6.21875" style="18" customWidth="1"/>
    <col min="10" max="10" width="6.88671875" style="18" bestFit="1" customWidth="1"/>
    <col min="11" max="11" width="10" style="18" bestFit="1" customWidth="1"/>
    <col min="12" max="21" width="8.88671875" style="18"/>
    <col min="22" max="25" width="10.5546875" style="18" customWidth="1"/>
    <col min="26" max="28" width="8.88671875" style="18"/>
    <col min="29" max="29" width="11.5546875" style="23" bestFit="1" customWidth="1"/>
    <col min="30" max="30" width="8.88671875" style="23"/>
    <col min="31" max="16384" width="8.88671875" style="18"/>
  </cols>
  <sheetData>
    <row r="1" spans="1:31" x14ac:dyDescent="0.3">
      <c r="A1" s="18" t="s">
        <v>2</v>
      </c>
      <c r="B1" s="18" t="s">
        <v>7</v>
      </c>
      <c r="C1" s="18" t="s">
        <v>18</v>
      </c>
      <c r="D1" s="18" t="s">
        <v>37</v>
      </c>
      <c r="E1" s="18" t="s">
        <v>38</v>
      </c>
      <c r="F1" s="18" t="s">
        <v>41</v>
      </c>
      <c r="G1" s="18" t="s">
        <v>0</v>
      </c>
      <c r="H1" s="18" t="s">
        <v>3</v>
      </c>
      <c r="I1" s="19" t="s">
        <v>1</v>
      </c>
      <c r="J1" s="18" t="s">
        <v>39</v>
      </c>
      <c r="K1" s="18" t="s">
        <v>40</v>
      </c>
      <c r="L1" s="18" t="s">
        <v>6</v>
      </c>
      <c r="M1" s="19" t="s">
        <v>5</v>
      </c>
      <c r="N1" s="19" t="s">
        <v>44</v>
      </c>
      <c r="O1" s="20" t="s">
        <v>23</v>
      </c>
      <c r="P1" s="19" t="s">
        <v>22</v>
      </c>
      <c r="Q1" s="19" t="s">
        <v>21</v>
      </c>
      <c r="R1" s="19" t="s">
        <v>46</v>
      </c>
      <c r="S1" s="19" t="s">
        <v>24</v>
      </c>
      <c r="T1" s="19" t="s">
        <v>25</v>
      </c>
      <c r="U1" s="19" t="s">
        <v>26</v>
      </c>
      <c r="V1" s="19" t="s">
        <v>45</v>
      </c>
      <c r="W1" s="19" t="s">
        <v>28</v>
      </c>
      <c r="X1" s="19" t="s">
        <v>29</v>
      </c>
      <c r="Y1" s="19" t="s">
        <v>30</v>
      </c>
      <c r="Z1" s="19" t="s">
        <v>31</v>
      </c>
      <c r="AA1" s="19" t="s">
        <v>32</v>
      </c>
      <c r="AB1" s="19" t="s">
        <v>33</v>
      </c>
      <c r="AC1" s="19" t="s">
        <v>47</v>
      </c>
      <c r="AD1" s="23" t="s">
        <v>27</v>
      </c>
      <c r="AE1" s="18" t="s">
        <v>51</v>
      </c>
    </row>
    <row r="2" spans="1:31" x14ac:dyDescent="0.3">
      <c r="A2" s="21">
        <v>43600</v>
      </c>
      <c r="B2" s="22">
        <v>1</v>
      </c>
      <c r="C2" s="22" t="s">
        <v>19</v>
      </c>
      <c r="D2" s="22">
        <v>47</v>
      </c>
      <c r="E2" s="22">
        <v>8</v>
      </c>
      <c r="F2" s="22" t="s">
        <v>42</v>
      </c>
      <c r="G2" s="18" t="s">
        <v>34</v>
      </c>
      <c r="H2" s="18" t="s">
        <v>4</v>
      </c>
      <c r="I2" s="23">
        <v>0.55500000000000005</v>
      </c>
      <c r="J2" s="18">
        <v>8.4160000000000004</v>
      </c>
      <c r="K2" s="18">
        <v>9.0399999999999991</v>
      </c>
      <c r="L2" s="20">
        <f>10.0348-6.0936</f>
        <v>3.9412000000000003</v>
      </c>
      <c r="M2" s="24">
        <v>0.183</v>
      </c>
      <c r="N2" s="24"/>
      <c r="O2" s="22"/>
      <c r="Q2" s="18">
        <v>31</v>
      </c>
      <c r="T2" s="18">
        <v>408</v>
      </c>
      <c r="U2" s="18">
        <v>40</v>
      </c>
      <c r="V2" s="25">
        <f>N2/50*1000*10^2</f>
        <v>0</v>
      </c>
      <c r="W2" s="25">
        <f t="shared" ref="W2:W19" si="0">O2/50*1000*10^3</f>
        <v>0</v>
      </c>
      <c r="X2" s="26">
        <v>99550000</v>
      </c>
      <c r="Y2" s="25">
        <f>Q2/50*1000*10^5</f>
        <v>62000000</v>
      </c>
      <c r="Z2" s="25">
        <f t="shared" ref="Z2:Z10" si="1">S2/50*1000*10^3</f>
        <v>0</v>
      </c>
      <c r="AA2" s="25">
        <f t="shared" ref="AA2:AA10" si="2">T2/50*1000*10^4</f>
        <v>81600000</v>
      </c>
      <c r="AB2" s="25">
        <f>U2/50*1000*10^5</f>
        <v>80000000</v>
      </c>
      <c r="AC2" s="23">
        <f>AA2/X2</f>
        <v>0.81968859869412358</v>
      </c>
      <c r="AD2" s="23">
        <f>AC2*L2/1.024/K2</f>
        <v>0.34898678455705551</v>
      </c>
    </row>
    <row r="3" spans="1:31" x14ac:dyDescent="0.3">
      <c r="A3" s="21">
        <v>43600</v>
      </c>
      <c r="B3" s="22">
        <v>2</v>
      </c>
      <c r="C3" s="22" t="s">
        <v>19</v>
      </c>
      <c r="D3" s="22">
        <v>21</v>
      </c>
      <c r="E3" s="22">
        <v>4</v>
      </c>
      <c r="F3" s="22" t="s">
        <v>42</v>
      </c>
      <c r="G3" s="18" t="s">
        <v>34</v>
      </c>
      <c r="H3" s="18" t="s">
        <v>4</v>
      </c>
      <c r="I3" s="23">
        <v>0.55500000000000005</v>
      </c>
      <c r="J3" s="18">
        <v>2.4660000000000002</v>
      </c>
      <c r="K3" s="18">
        <v>6.04</v>
      </c>
      <c r="L3" s="20">
        <f>9.7-6.0955</f>
        <v>3.6044999999999989</v>
      </c>
      <c r="M3" s="24">
        <v>0.01</v>
      </c>
      <c r="N3" s="24"/>
      <c r="O3" s="22"/>
      <c r="P3" s="18">
        <v>457</v>
      </c>
      <c r="Q3" s="18">
        <v>57</v>
      </c>
      <c r="T3" s="18">
        <v>377</v>
      </c>
      <c r="U3" s="18">
        <v>38</v>
      </c>
      <c r="V3" s="25">
        <f t="shared" ref="V3:V28" si="3">N3/50*1000*10^2</f>
        <v>0</v>
      </c>
      <c r="W3" s="25">
        <f t="shared" si="0"/>
        <v>0</v>
      </c>
      <c r="X3" s="25">
        <f t="shared" ref="X3:X10" si="4">P3/50*1000*10^4</f>
        <v>91400000</v>
      </c>
      <c r="Y3" s="25">
        <f t="shared" ref="Y3:Y10" si="5">Q3/50*1000*10^5</f>
        <v>114000000</v>
      </c>
      <c r="Z3" s="25">
        <f t="shared" si="1"/>
        <v>0</v>
      </c>
      <c r="AA3" s="25">
        <f t="shared" si="2"/>
        <v>75400000</v>
      </c>
      <c r="AB3" s="25">
        <f t="shared" ref="AB3:AB10" si="6">U3/50*1000*10^5</f>
        <v>76000000</v>
      </c>
      <c r="AC3" s="23">
        <f>AA3/X3</f>
        <v>0.82494529540481398</v>
      </c>
      <c r="AD3" s="23">
        <f>AC3*L3/1.024/K3</f>
        <v>0.48076548874797109</v>
      </c>
    </row>
    <row r="4" spans="1:31" x14ac:dyDescent="0.3">
      <c r="A4" s="21">
        <v>43600</v>
      </c>
      <c r="B4" s="22">
        <v>3</v>
      </c>
      <c r="C4" s="22" t="s">
        <v>19</v>
      </c>
      <c r="D4" s="22">
        <v>47</v>
      </c>
      <c r="E4" s="22">
        <v>4</v>
      </c>
      <c r="F4" s="22" t="s">
        <v>42</v>
      </c>
      <c r="G4" s="18" t="s">
        <v>34</v>
      </c>
      <c r="H4" s="18" t="s">
        <v>4</v>
      </c>
      <c r="I4" s="23">
        <v>0.55500000000000005</v>
      </c>
      <c r="J4" s="18">
        <v>8.4160000000000004</v>
      </c>
      <c r="K4" s="18">
        <v>9.0399999999999991</v>
      </c>
      <c r="L4" s="20">
        <f>10.2474-6.15</f>
        <v>4.0974000000000004</v>
      </c>
      <c r="M4" s="24">
        <v>0.155</v>
      </c>
      <c r="N4" s="24"/>
      <c r="O4" s="22"/>
      <c r="P4" s="18">
        <v>527</v>
      </c>
      <c r="Q4" s="18">
        <v>74</v>
      </c>
      <c r="T4" s="18">
        <v>390</v>
      </c>
      <c r="U4" s="18">
        <v>30</v>
      </c>
      <c r="V4" s="25">
        <f t="shared" si="3"/>
        <v>0</v>
      </c>
      <c r="W4" s="25">
        <f t="shared" si="0"/>
        <v>0</v>
      </c>
      <c r="X4" s="25">
        <f t="shared" si="4"/>
        <v>105400000</v>
      </c>
      <c r="Y4" s="25">
        <f t="shared" si="5"/>
        <v>148000000</v>
      </c>
      <c r="Z4" s="25">
        <f t="shared" si="1"/>
        <v>0</v>
      </c>
      <c r="AA4" s="25">
        <f t="shared" si="2"/>
        <v>78000000</v>
      </c>
      <c r="AB4" s="25">
        <f t="shared" si="6"/>
        <v>60000000</v>
      </c>
      <c r="AC4" s="23">
        <f t="shared" ref="AC4:AC10" si="7">AA4/X4</f>
        <v>0.74003795066413658</v>
      </c>
      <c r="AD4" s="23">
        <f t="shared" ref="AD4:AD11" si="8">AC4*L4/1.024/K4</f>
        <v>0.32756234217834301</v>
      </c>
    </row>
    <row r="5" spans="1:31" x14ac:dyDescent="0.3">
      <c r="A5" s="21">
        <v>43600</v>
      </c>
      <c r="B5" s="22">
        <v>4</v>
      </c>
      <c r="C5" s="22" t="s">
        <v>19</v>
      </c>
      <c r="D5" s="22">
        <v>5</v>
      </c>
      <c r="E5" s="22">
        <v>4</v>
      </c>
      <c r="F5" s="22" t="s">
        <v>42</v>
      </c>
      <c r="G5" s="18" t="s">
        <v>34</v>
      </c>
      <c r="H5" s="18" t="s">
        <v>4</v>
      </c>
      <c r="I5" s="23">
        <v>0.55500000000000005</v>
      </c>
      <c r="J5" s="18">
        <v>0.626</v>
      </c>
      <c r="K5" s="18">
        <v>5.86</v>
      </c>
      <c r="L5" s="20">
        <f>10.7-6.0373</f>
        <v>4.6626999999999992</v>
      </c>
      <c r="M5" s="24">
        <v>0</v>
      </c>
      <c r="N5" s="24"/>
      <c r="O5" s="22"/>
      <c r="P5" s="18">
        <v>515</v>
      </c>
      <c r="Q5" s="18">
        <v>78</v>
      </c>
      <c r="T5" s="18">
        <v>405</v>
      </c>
      <c r="U5" s="18">
        <v>39</v>
      </c>
      <c r="V5" s="25">
        <f t="shared" si="3"/>
        <v>0</v>
      </c>
      <c r="W5" s="25">
        <f t="shared" si="0"/>
        <v>0</v>
      </c>
      <c r="X5" s="25">
        <f t="shared" si="4"/>
        <v>103000000</v>
      </c>
      <c r="Y5" s="25">
        <f t="shared" si="5"/>
        <v>156000000</v>
      </c>
      <c r="Z5" s="25">
        <f t="shared" si="1"/>
        <v>0</v>
      </c>
      <c r="AA5" s="25">
        <f t="shared" si="2"/>
        <v>81000000</v>
      </c>
      <c r="AB5" s="25">
        <f t="shared" si="6"/>
        <v>78000000</v>
      </c>
      <c r="AC5" s="23">
        <f t="shared" si="7"/>
        <v>0.78640776699029125</v>
      </c>
      <c r="AD5" s="23">
        <f t="shared" si="8"/>
        <v>0.61106540221470207</v>
      </c>
    </row>
    <row r="6" spans="1:31" x14ac:dyDescent="0.3">
      <c r="A6" s="21">
        <v>43600</v>
      </c>
      <c r="B6" s="22">
        <v>5</v>
      </c>
      <c r="C6" s="22" t="s">
        <v>19</v>
      </c>
      <c r="D6" s="22">
        <v>21</v>
      </c>
      <c r="E6" s="22">
        <v>30</v>
      </c>
      <c r="F6" s="22" t="s">
        <v>42</v>
      </c>
      <c r="G6" s="18" t="s">
        <v>34</v>
      </c>
      <c r="H6" s="18" t="s">
        <v>4</v>
      </c>
      <c r="I6" s="23">
        <v>0.55500000000000005</v>
      </c>
      <c r="J6" s="18">
        <v>2.4660000000000002</v>
      </c>
      <c r="K6" s="18">
        <v>6.04</v>
      </c>
      <c r="L6" s="20">
        <f>10.0117-6.1624</f>
        <v>3.8492999999999995</v>
      </c>
      <c r="M6" s="24">
        <v>0</v>
      </c>
      <c r="N6" s="24"/>
      <c r="O6" s="22"/>
      <c r="P6" s="18">
        <v>493</v>
      </c>
      <c r="Q6" s="18">
        <v>65</v>
      </c>
      <c r="T6" s="18">
        <v>329</v>
      </c>
      <c r="U6" s="18">
        <v>33</v>
      </c>
      <c r="V6" s="25">
        <f t="shared" si="3"/>
        <v>0</v>
      </c>
      <c r="W6" s="25">
        <f t="shared" si="0"/>
        <v>0</v>
      </c>
      <c r="X6" s="25">
        <f t="shared" si="4"/>
        <v>98600000</v>
      </c>
      <c r="Y6" s="25">
        <f t="shared" si="5"/>
        <v>130000000</v>
      </c>
      <c r="Z6" s="25">
        <f t="shared" si="1"/>
        <v>0</v>
      </c>
      <c r="AA6" s="25">
        <f t="shared" si="2"/>
        <v>65800000</v>
      </c>
      <c r="AB6" s="25">
        <f t="shared" si="6"/>
        <v>66000000</v>
      </c>
      <c r="AC6" s="23">
        <f t="shared" si="7"/>
        <v>0.66734279918864092</v>
      </c>
      <c r="AD6" s="23">
        <f t="shared" si="8"/>
        <v>0.41533051740299615</v>
      </c>
    </row>
    <row r="7" spans="1:31" x14ac:dyDescent="0.3">
      <c r="A7" s="21">
        <v>43600</v>
      </c>
      <c r="B7" s="22">
        <v>6</v>
      </c>
      <c r="C7" s="22" t="s">
        <v>19</v>
      </c>
      <c r="D7" s="22">
        <v>5</v>
      </c>
      <c r="E7" s="22">
        <v>8</v>
      </c>
      <c r="F7" s="22" t="s">
        <v>42</v>
      </c>
      <c r="G7" s="18" t="s">
        <v>34</v>
      </c>
      <c r="H7" s="18" t="s">
        <v>4</v>
      </c>
      <c r="I7" s="23">
        <v>0.55500000000000005</v>
      </c>
      <c r="J7" s="18">
        <v>0.626</v>
      </c>
      <c r="K7" s="18">
        <v>5.86</v>
      </c>
      <c r="L7" s="20">
        <f>10.6881-6.0939</f>
        <v>4.5942000000000007</v>
      </c>
      <c r="M7" s="24">
        <v>0</v>
      </c>
      <c r="N7" s="24"/>
      <c r="O7" s="22"/>
      <c r="P7" s="18">
        <v>473</v>
      </c>
      <c r="Q7" s="18">
        <v>56</v>
      </c>
      <c r="T7" s="18">
        <v>284</v>
      </c>
      <c r="U7" s="18">
        <v>21</v>
      </c>
      <c r="V7" s="25">
        <f t="shared" si="3"/>
        <v>0</v>
      </c>
      <c r="W7" s="25">
        <f t="shared" si="0"/>
        <v>0</v>
      </c>
      <c r="X7" s="25">
        <f t="shared" si="4"/>
        <v>94600000</v>
      </c>
      <c r="Y7" s="25">
        <f t="shared" si="5"/>
        <v>112000000</v>
      </c>
      <c r="Z7" s="25">
        <f t="shared" si="1"/>
        <v>0</v>
      </c>
      <c r="AA7" s="25">
        <f t="shared" si="2"/>
        <v>56800000</v>
      </c>
      <c r="AB7" s="25">
        <f t="shared" si="6"/>
        <v>42000000</v>
      </c>
      <c r="AC7" s="23">
        <f t="shared" si="7"/>
        <v>0.60042283298097254</v>
      </c>
      <c r="AD7" s="23">
        <f t="shared" si="8"/>
        <v>0.45969472910909243</v>
      </c>
    </row>
    <row r="8" spans="1:31" x14ac:dyDescent="0.3">
      <c r="A8" s="21">
        <v>43600</v>
      </c>
      <c r="B8" s="22">
        <v>7</v>
      </c>
      <c r="C8" s="22" t="s">
        <v>19</v>
      </c>
      <c r="D8" s="22">
        <v>5</v>
      </c>
      <c r="E8" s="22">
        <v>30</v>
      </c>
      <c r="F8" s="22" t="s">
        <v>42</v>
      </c>
      <c r="G8" s="18" t="s">
        <v>34</v>
      </c>
      <c r="H8" s="18" t="s">
        <v>4</v>
      </c>
      <c r="I8" s="23">
        <v>0.55500000000000005</v>
      </c>
      <c r="J8" s="18">
        <v>0.626</v>
      </c>
      <c r="K8" s="18">
        <v>5.86</v>
      </c>
      <c r="L8" s="20">
        <f>10.7402-6.1118</f>
        <v>4.6284000000000001</v>
      </c>
      <c r="M8" s="24">
        <v>0</v>
      </c>
      <c r="N8" s="24"/>
      <c r="O8" s="22"/>
      <c r="P8" s="18">
        <v>532</v>
      </c>
      <c r="Q8" s="18">
        <v>61</v>
      </c>
      <c r="T8" s="18">
        <v>393</v>
      </c>
      <c r="U8" s="18">
        <v>29</v>
      </c>
      <c r="V8" s="25">
        <f t="shared" si="3"/>
        <v>0</v>
      </c>
      <c r="W8" s="25">
        <f t="shared" si="0"/>
        <v>0</v>
      </c>
      <c r="X8" s="25">
        <f t="shared" si="4"/>
        <v>106400000</v>
      </c>
      <c r="Y8" s="25">
        <f t="shared" si="5"/>
        <v>122000000</v>
      </c>
      <c r="Z8" s="25">
        <f t="shared" si="1"/>
        <v>0</v>
      </c>
      <c r="AA8" s="25">
        <f t="shared" si="2"/>
        <v>78600000</v>
      </c>
      <c r="AB8" s="25">
        <f t="shared" si="6"/>
        <v>58000000</v>
      </c>
      <c r="AC8" s="23">
        <f t="shared" si="7"/>
        <v>0.73872180451127822</v>
      </c>
      <c r="AD8" s="23">
        <f t="shared" si="8"/>
        <v>0.56978922248293518</v>
      </c>
    </row>
    <row r="9" spans="1:31" x14ac:dyDescent="0.3">
      <c r="A9" s="21">
        <v>43600</v>
      </c>
      <c r="B9" s="22">
        <v>8</v>
      </c>
      <c r="C9" s="22" t="s">
        <v>19</v>
      </c>
      <c r="D9" s="22">
        <v>21</v>
      </c>
      <c r="E9" s="22">
        <v>8</v>
      </c>
      <c r="F9" s="22" t="s">
        <v>42</v>
      </c>
      <c r="G9" s="18" t="s">
        <v>34</v>
      </c>
      <c r="H9" s="18" t="s">
        <v>4</v>
      </c>
      <c r="I9" s="23">
        <v>0.55500000000000005</v>
      </c>
      <c r="J9" s="18">
        <v>2.4660000000000002</v>
      </c>
      <c r="K9" s="18">
        <v>6.04</v>
      </c>
      <c r="L9" s="20">
        <f>10.0716-6.1592</f>
        <v>3.9123999999999999</v>
      </c>
      <c r="M9" s="24">
        <v>1E-3</v>
      </c>
      <c r="N9" s="24"/>
      <c r="O9" s="22"/>
      <c r="P9" s="18">
        <v>432</v>
      </c>
      <c r="Q9" s="18">
        <v>67</v>
      </c>
      <c r="T9" s="18">
        <v>296</v>
      </c>
      <c r="U9" s="18">
        <v>26</v>
      </c>
      <c r="V9" s="25">
        <f t="shared" si="3"/>
        <v>0</v>
      </c>
      <c r="W9" s="25">
        <f t="shared" si="0"/>
        <v>0</v>
      </c>
      <c r="X9" s="25">
        <f t="shared" si="4"/>
        <v>86400000</v>
      </c>
      <c r="Y9" s="25">
        <f t="shared" si="5"/>
        <v>134000000</v>
      </c>
      <c r="Z9" s="25">
        <f t="shared" si="1"/>
        <v>0</v>
      </c>
      <c r="AA9" s="25">
        <f t="shared" si="2"/>
        <v>59200000</v>
      </c>
      <c r="AB9" s="25">
        <f t="shared" si="6"/>
        <v>52000000</v>
      </c>
      <c r="AC9" s="23">
        <f t="shared" si="7"/>
        <v>0.68518518518518523</v>
      </c>
      <c r="AD9" s="23">
        <f t="shared" si="8"/>
        <v>0.43342536063588422</v>
      </c>
    </row>
    <row r="10" spans="1:31" x14ac:dyDescent="0.3">
      <c r="A10" s="21">
        <v>43600</v>
      </c>
      <c r="B10" s="22">
        <v>9</v>
      </c>
      <c r="C10" s="22" t="s">
        <v>19</v>
      </c>
      <c r="D10" s="22">
        <v>47</v>
      </c>
      <c r="E10" s="22">
        <v>30</v>
      </c>
      <c r="F10" s="22" t="s">
        <v>42</v>
      </c>
      <c r="G10" s="18" t="s">
        <v>34</v>
      </c>
      <c r="H10" s="18" t="s">
        <v>4</v>
      </c>
      <c r="I10" s="23">
        <v>0.55500000000000005</v>
      </c>
      <c r="J10" s="18">
        <v>8.4160000000000004</v>
      </c>
      <c r="K10" s="18">
        <v>9.0399999999999991</v>
      </c>
      <c r="L10" s="20">
        <f>9.5813-6.0441</f>
        <v>3.5372000000000003</v>
      </c>
      <c r="M10" s="24">
        <v>0.04</v>
      </c>
      <c r="N10" s="24"/>
      <c r="O10" s="22"/>
      <c r="P10" s="18">
        <v>553</v>
      </c>
      <c r="Q10" s="18">
        <v>71</v>
      </c>
      <c r="T10" s="18">
        <v>462</v>
      </c>
      <c r="U10" s="18">
        <v>38</v>
      </c>
      <c r="V10" s="25">
        <f t="shared" si="3"/>
        <v>0</v>
      </c>
      <c r="W10" s="25">
        <f t="shared" si="0"/>
        <v>0</v>
      </c>
      <c r="X10" s="25">
        <f t="shared" si="4"/>
        <v>110600000</v>
      </c>
      <c r="Y10" s="25">
        <f t="shared" si="5"/>
        <v>142000000</v>
      </c>
      <c r="Z10" s="25">
        <f t="shared" si="1"/>
        <v>0</v>
      </c>
      <c r="AA10" s="25">
        <f t="shared" si="2"/>
        <v>92400000</v>
      </c>
      <c r="AB10" s="25">
        <f t="shared" si="6"/>
        <v>76000000</v>
      </c>
      <c r="AC10" s="23">
        <f t="shared" si="7"/>
        <v>0.83544303797468356</v>
      </c>
      <c r="AD10" s="23">
        <f t="shared" si="8"/>
        <v>0.31923321629606821</v>
      </c>
    </row>
    <row r="11" spans="1:31" x14ac:dyDescent="0.3">
      <c r="A11" s="21">
        <v>43602</v>
      </c>
      <c r="B11" s="18">
        <v>1</v>
      </c>
      <c r="C11" s="18" t="s">
        <v>20</v>
      </c>
      <c r="D11" s="22">
        <v>21</v>
      </c>
      <c r="E11" s="22">
        <v>4</v>
      </c>
      <c r="F11" s="22" t="s">
        <v>43</v>
      </c>
      <c r="G11" s="18" t="s">
        <v>34</v>
      </c>
      <c r="H11" s="18" t="s">
        <v>4</v>
      </c>
      <c r="I11" s="18">
        <v>0.47499999999999998</v>
      </c>
      <c r="J11" s="18">
        <v>2.8820000000000001</v>
      </c>
      <c r="K11" s="18">
        <v>6.04</v>
      </c>
      <c r="L11" s="18">
        <f>10.0537-6.1227</f>
        <v>3.9309999999999992</v>
      </c>
      <c r="M11" s="18">
        <v>0</v>
      </c>
      <c r="O11" s="18">
        <v>338</v>
      </c>
      <c r="P11" s="18">
        <v>50</v>
      </c>
      <c r="Q11" s="18">
        <v>5</v>
      </c>
      <c r="S11" s="18">
        <v>256</v>
      </c>
      <c r="T11" s="18">
        <v>32</v>
      </c>
      <c r="U11" s="18">
        <v>6</v>
      </c>
      <c r="V11" s="25">
        <f t="shared" si="3"/>
        <v>0</v>
      </c>
      <c r="W11" s="25">
        <f t="shared" si="0"/>
        <v>6760000</v>
      </c>
      <c r="X11" s="25">
        <f t="shared" ref="X11:X19" si="9">P11/50*1000*10^4</f>
        <v>10000000</v>
      </c>
      <c r="Y11" s="25">
        <f t="shared" ref="Y11:Y19" si="10">Q11/50*1000*10^5</f>
        <v>10000000</v>
      </c>
      <c r="Z11" s="25">
        <f t="shared" ref="Z11:Z19" si="11">S11/50*1000*10^3</f>
        <v>5120000</v>
      </c>
      <c r="AA11" s="25">
        <f t="shared" ref="AA11:AA19" si="12">T11/50*1000*10^4</f>
        <v>6400000</v>
      </c>
      <c r="AB11" s="25">
        <f t="shared" ref="AB11:AB19" si="13">U11/50*1000*10^5</f>
        <v>12000000</v>
      </c>
      <c r="AC11" s="23">
        <f>Z11/W11</f>
        <v>0.75739644970414199</v>
      </c>
      <c r="AD11" s="23">
        <f t="shared" si="8"/>
        <v>0.48138151965202386</v>
      </c>
    </row>
    <row r="12" spans="1:31" x14ac:dyDescent="0.3">
      <c r="A12" s="21">
        <v>43602</v>
      </c>
      <c r="B12" s="18">
        <v>2</v>
      </c>
      <c r="C12" s="18" t="s">
        <v>20</v>
      </c>
      <c r="D12" s="22">
        <v>5</v>
      </c>
      <c r="E12" s="22">
        <v>30</v>
      </c>
      <c r="F12" s="22" t="s">
        <v>43</v>
      </c>
      <c r="G12" s="18" t="s">
        <v>34</v>
      </c>
      <c r="H12" s="18" t="s">
        <v>4</v>
      </c>
      <c r="I12" s="18">
        <v>0.47499999999999998</v>
      </c>
      <c r="J12" s="18">
        <f>0.732</f>
        <v>0.73199999999999998</v>
      </c>
      <c r="K12" s="18">
        <v>5.86</v>
      </c>
      <c r="L12" s="18">
        <f>9.683-6.0495</f>
        <v>3.6334999999999997</v>
      </c>
      <c r="M12" s="18">
        <v>0</v>
      </c>
      <c r="O12" s="18">
        <v>348</v>
      </c>
      <c r="P12" s="18">
        <v>35</v>
      </c>
      <c r="Q12" s="18">
        <v>3</v>
      </c>
      <c r="S12" s="18">
        <v>98</v>
      </c>
      <c r="T12" s="18">
        <v>23</v>
      </c>
      <c r="U12" s="18">
        <v>1</v>
      </c>
      <c r="V12" s="25">
        <f t="shared" si="3"/>
        <v>0</v>
      </c>
      <c r="W12" s="25">
        <f t="shared" si="0"/>
        <v>6960000</v>
      </c>
      <c r="X12" s="25">
        <f t="shared" si="9"/>
        <v>7000000</v>
      </c>
      <c r="Y12" s="25">
        <f t="shared" si="10"/>
        <v>6000000</v>
      </c>
      <c r="Z12" s="25">
        <f t="shared" si="11"/>
        <v>1960000</v>
      </c>
      <c r="AA12" s="25">
        <f t="shared" si="12"/>
        <v>4600000</v>
      </c>
      <c r="AB12" s="25">
        <f t="shared" si="13"/>
        <v>2000000</v>
      </c>
      <c r="AC12" s="23">
        <f t="shared" ref="AC12:AC15" si="14">Z12/W12</f>
        <v>0.28160919540229884</v>
      </c>
      <c r="AD12" s="23">
        <f t="shared" ref="AD12:AD16" si="15">AC12*L12/1.024/K12</f>
        <v>0.17051964648675019</v>
      </c>
    </row>
    <row r="13" spans="1:31" x14ac:dyDescent="0.3">
      <c r="A13" s="21">
        <v>43602</v>
      </c>
      <c r="B13" s="18">
        <v>3</v>
      </c>
      <c r="C13" s="18" t="s">
        <v>20</v>
      </c>
      <c r="D13" s="22">
        <v>47</v>
      </c>
      <c r="E13" s="22">
        <v>30</v>
      </c>
      <c r="F13" s="22" t="s">
        <v>43</v>
      </c>
      <c r="G13" s="18" t="s">
        <v>34</v>
      </c>
      <c r="H13" s="18" t="s">
        <v>4</v>
      </c>
      <c r="I13" s="18">
        <v>0.47499999999999998</v>
      </c>
      <c r="J13" s="18">
        <v>9.8339999999999996</v>
      </c>
      <c r="K13" s="18">
        <v>9.0399999999999991</v>
      </c>
      <c r="L13" s="18">
        <f>9.5952-6.052</f>
        <v>3.5432000000000006</v>
      </c>
      <c r="M13" s="18">
        <v>0.03</v>
      </c>
      <c r="O13" s="18">
        <v>303</v>
      </c>
      <c r="P13" s="18">
        <v>46</v>
      </c>
      <c r="Q13" s="18">
        <v>5</v>
      </c>
      <c r="S13" s="18">
        <v>364</v>
      </c>
      <c r="T13" s="18">
        <v>28</v>
      </c>
      <c r="U13" s="18">
        <v>6</v>
      </c>
      <c r="V13" s="25">
        <f t="shared" si="3"/>
        <v>0</v>
      </c>
      <c r="W13" s="25">
        <f t="shared" si="0"/>
        <v>6060000</v>
      </c>
      <c r="X13" s="25">
        <f t="shared" si="9"/>
        <v>9200000</v>
      </c>
      <c r="Y13" s="25">
        <f t="shared" si="10"/>
        <v>10000000</v>
      </c>
      <c r="Z13" s="25">
        <f t="shared" si="11"/>
        <v>7280000</v>
      </c>
      <c r="AA13" s="25">
        <f t="shared" si="12"/>
        <v>5600000</v>
      </c>
      <c r="AB13" s="25">
        <f t="shared" si="13"/>
        <v>12000000</v>
      </c>
      <c r="AC13" s="23">
        <f t="shared" si="14"/>
        <v>1.2013201320132014</v>
      </c>
      <c r="AD13" s="23">
        <f t="shared" si="15"/>
        <v>0.45981807113233464</v>
      </c>
    </row>
    <row r="14" spans="1:31" x14ac:dyDescent="0.3">
      <c r="A14" s="21">
        <v>43602</v>
      </c>
      <c r="B14" s="18">
        <v>4</v>
      </c>
      <c r="C14" s="18" t="s">
        <v>20</v>
      </c>
      <c r="D14" s="22">
        <v>5</v>
      </c>
      <c r="E14" s="22">
        <v>8</v>
      </c>
      <c r="F14" s="22" t="s">
        <v>43</v>
      </c>
      <c r="G14" s="18" t="s">
        <v>34</v>
      </c>
      <c r="H14" s="18" t="s">
        <v>4</v>
      </c>
      <c r="I14" s="18">
        <v>0.47499999999999998</v>
      </c>
      <c r="J14" s="18">
        <f>0.732</f>
        <v>0.73199999999999998</v>
      </c>
      <c r="K14" s="18">
        <v>5.86</v>
      </c>
      <c r="L14" s="18">
        <f>10.766-6.1631</f>
        <v>4.6029</v>
      </c>
      <c r="M14" s="18">
        <v>0</v>
      </c>
      <c r="O14" s="18">
        <v>337</v>
      </c>
      <c r="P14" s="18">
        <v>44</v>
      </c>
      <c r="Q14" s="18">
        <v>4</v>
      </c>
      <c r="S14" s="18">
        <v>258</v>
      </c>
      <c r="T14" s="18">
        <v>32</v>
      </c>
      <c r="U14" s="18">
        <v>1</v>
      </c>
      <c r="V14" s="25">
        <f t="shared" si="3"/>
        <v>0</v>
      </c>
      <c r="W14" s="25">
        <f t="shared" si="0"/>
        <v>6740000</v>
      </c>
      <c r="X14" s="25">
        <f t="shared" si="9"/>
        <v>8800000</v>
      </c>
      <c r="Y14" s="25">
        <f t="shared" si="10"/>
        <v>8000000</v>
      </c>
      <c r="Z14" s="25">
        <f t="shared" si="11"/>
        <v>5160000</v>
      </c>
      <c r="AA14" s="25">
        <f t="shared" si="12"/>
        <v>6400000</v>
      </c>
      <c r="AB14" s="25">
        <f t="shared" si="13"/>
        <v>2000000</v>
      </c>
      <c r="AC14" s="23">
        <f t="shared" si="14"/>
        <v>0.76557863501483681</v>
      </c>
      <c r="AD14" s="23">
        <f t="shared" si="15"/>
        <v>0.58725100974392597</v>
      </c>
    </row>
    <row r="15" spans="1:31" x14ac:dyDescent="0.3">
      <c r="A15" s="21">
        <v>43602</v>
      </c>
      <c r="B15" s="18">
        <v>5</v>
      </c>
      <c r="C15" s="18" t="s">
        <v>20</v>
      </c>
      <c r="D15" s="22">
        <v>47</v>
      </c>
      <c r="E15" s="22">
        <v>8</v>
      </c>
      <c r="F15" s="22" t="s">
        <v>43</v>
      </c>
      <c r="G15" s="18" t="s">
        <v>34</v>
      </c>
      <c r="H15" s="18" t="s">
        <v>4</v>
      </c>
      <c r="I15" s="18">
        <v>0.47499999999999998</v>
      </c>
      <c r="J15" s="18">
        <v>9.8339999999999996</v>
      </c>
      <c r="K15" s="18">
        <v>9.0399999999999991</v>
      </c>
      <c r="L15" s="18">
        <f>10.079-6.0756</f>
        <v>4.003400000000001</v>
      </c>
      <c r="M15" s="18">
        <v>0.2</v>
      </c>
      <c r="O15" s="18">
        <v>469</v>
      </c>
      <c r="P15" s="18">
        <v>45</v>
      </c>
      <c r="Q15" s="18">
        <v>6</v>
      </c>
      <c r="S15" s="18">
        <v>357</v>
      </c>
      <c r="T15" s="18">
        <v>50</v>
      </c>
      <c r="U15" s="18">
        <v>6</v>
      </c>
      <c r="V15" s="25">
        <f t="shared" si="3"/>
        <v>0</v>
      </c>
      <c r="W15" s="25">
        <f t="shared" si="0"/>
        <v>9380000</v>
      </c>
      <c r="X15" s="25">
        <f t="shared" si="9"/>
        <v>9000000</v>
      </c>
      <c r="Y15" s="25">
        <f t="shared" si="10"/>
        <v>12000000</v>
      </c>
      <c r="Z15" s="25">
        <f t="shared" si="11"/>
        <v>7140000</v>
      </c>
      <c r="AA15" s="25">
        <f t="shared" si="12"/>
        <v>10000000</v>
      </c>
      <c r="AB15" s="25">
        <f t="shared" si="13"/>
        <v>12000000</v>
      </c>
      <c r="AC15" s="23">
        <f t="shared" si="14"/>
        <v>0.76119402985074625</v>
      </c>
      <c r="AD15" s="23">
        <f t="shared" si="15"/>
        <v>0.32919707756158378</v>
      </c>
    </row>
    <row r="16" spans="1:31" x14ac:dyDescent="0.3">
      <c r="A16" s="21">
        <v>43602</v>
      </c>
      <c r="B16" s="18">
        <v>6</v>
      </c>
      <c r="C16" s="18" t="s">
        <v>20</v>
      </c>
      <c r="D16" s="22">
        <v>21</v>
      </c>
      <c r="E16" s="22">
        <v>8</v>
      </c>
      <c r="F16" s="22" t="s">
        <v>43</v>
      </c>
      <c r="G16" s="18" t="s">
        <v>34</v>
      </c>
      <c r="H16" s="18" t="s">
        <v>4</v>
      </c>
      <c r="I16" s="18">
        <v>0.47499999999999998</v>
      </c>
      <c r="J16" s="18">
        <v>2.8820000000000001</v>
      </c>
      <c r="K16" s="18">
        <v>6.04</v>
      </c>
      <c r="L16" s="18">
        <f>10.0084-6.1426</f>
        <v>3.8658000000000001</v>
      </c>
      <c r="M16" s="18">
        <v>5.0000000000000001E-3</v>
      </c>
      <c r="O16" s="18">
        <v>380</v>
      </c>
      <c r="P16" s="18">
        <v>43</v>
      </c>
      <c r="Q16" s="18">
        <v>3</v>
      </c>
      <c r="S16" s="18">
        <v>242</v>
      </c>
      <c r="T16" s="18">
        <v>35</v>
      </c>
      <c r="U16" s="18">
        <v>3</v>
      </c>
      <c r="V16" s="25">
        <f t="shared" si="3"/>
        <v>0</v>
      </c>
      <c r="W16" s="25">
        <f t="shared" si="0"/>
        <v>7600000</v>
      </c>
      <c r="X16" s="25">
        <f t="shared" si="9"/>
        <v>8600000</v>
      </c>
      <c r="Y16" s="25">
        <f t="shared" si="10"/>
        <v>6000000</v>
      </c>
      <c r="Z16" s="25">
        <f t="shared" si="11"/>
        <v>4840000</v>
      </c>
      <c r="AA16" s="25">
        <f t="shared" si="12"/>
        <v>7000000</v>
      </c>
      <c r="AB16" s="25">
        <f t="shared" si="13"/>
        <v>6000000</v>
      </c>
      <c r="AC16" s="23">
        <f>Z16/W16</f>
        <v>0.63684210526315788</v>
      </c>
      <c r="AD16" s="23">
        <f t="shared" si="15"/>
        <v>0.39804690903842799</v>
      </c>
    </row>
    <row r="17" spans="1:31" x14ac:dyDescent="0.3">
      <c r="A17" s="21">
        <v>43602</v>
      </c>
      <c r="B17" s="18">
        <v>7</v>
      </c>
      <c r="C17" s="18" t="s">
        <v>20</v>
      </c>
      <c r="D17" s="22">
        <v>5</v>
      </c>
      <c r="E17" s="22">
        <v>4</v>
      </c>
      <c r="F17" s="22" t="s">
        <v>43</v>
      </c>
      <c r="G17" s="18" t="s">
        <v>34</v>
      </c>
      <c r="H17" s="18" t="s">
        <v>4</v>
      </c>
      <c r="I17" s="18">
        <v>0.47499999999999998</v>
      </c>
      <c r="J17" s="18">
        <f>0.732</f>
        <v>0.73199999999999998</v>
      </c>
      <c r="K17" s="18">
        <v>5.86</v>
      </c>
      <c r="L17" s="18">
        <f>10.6858-6.087</f>
        <v>4.5988000000000007</v>
      </c>
      <c r="M17" s="18">
        <v>0</v>
      </c>
      <c r="O17" s="18">
        <v>323</v>
      </c>
      <c r="P17" s="18">
        <v>45</v>
      </c>
      <c r="Q17" s="18">
        <v>6</v>
      </c>
      <c r="S17" s="18">
        <v>295</v>
      </c>
      <c r="T17" s="18">
        <v>30</v>
      </c>
      <c r="U17" s="18">
        <v>1</v>
      </c>
      <c r="V17" s="25">
        <f t="shared" si="3"/>
        <v>0</v>
      </c>
      <c r="W17" s="25">
        <f t="shared" si="0"/>
        <v>6460000</v>
      </c>
      <c r="X17" s="25">
        <f t="shared" si="9"/>
        <v>9000000</v>
      </c>
      <c r="Y17" s="25">
        <f t="shared" si="10"/>
        <v>12000000</v>
      </c>
      <c r="Z17" s="25">
        <f t="shared" si="11"/>
        <v>5900000</v>
      </c>
      <c r="AA17" s="25">
        <f t="shared" si="12"/>
        <v>6000000</v>
      </c>
      <c r="AB17" s="25">
        <f t="shared" si="13"/>
        <v>2000000</v>
      </c>
      <c r="AC17" s="23">
        <f t="shared" ref="AC17:AC19" si="16">Z17/W17</f>
        <v>0.91331269349845201</v>
      </c>
      <c r="AD17" s="23">
        <f t="shared" ref="AD17:AD19" si="17">AC17*L17/1.024/K17</f>
        <v>0.69994907457549205</v>
      </c>
    </row>
    <row r="18" spans="1:31" x14ac:dyDescent="0.3">
      <c r="A18" s="21">
        <v>43602</v>
      </c>
      <c r="B18" s="18">
        <v>8</v>
      </c>
      <c r="C18" s="18" t="s">
        <v>20</v>
      </c>
      <c r="D18" s="22">
        <v>47</v>
      </c>
      <c r="E18" s="22">
        <v>4</v>
      </c>
      <c r="F18" s="22" t="s">
        <v>43</v>
      </c>
      <c r="G18" s="18" t="s">
        <v>34</v>
      </c>
      <c r="H18" s="18" t="s">
        <v>4</v>
      </c>
      <c r="I18" s="18">
        <v>0.47499999999999998</v>
      </c>
      <c r="J18" s="18">
        <v>9.8339999999999996</v>
      </c>
      <c r="K18" s="18">
        <v>9.0399999999999991</v>
      </c>
      <c r="L18" s="18">
        <f>10.016-6.0973</f>
        <v>3.9187000000000003</v>
      </c>
      <c r="M18" s="18">
        <v>0.24</v>
      </c>
      <c r="O18" s="18">
        <v>425</v>
      </c>
      <c r="P18" s="18">
        <v>38</v>
      </c>
      <c r="Q18" s="18">
        <v>6</v>
      </c>
      <c r="S18" s="18">
        <v>204</v>
      </c>
      <c r="T18" s="18">
        <v>14</v>
      </c>
      <c r="U18" s="18">
        <v>3</v>
      </c>
      <c r="V18" s="25">
        <f t="shared" si="3"/>
        <v>0</v>
      </c>
      <c r="W18" s="25">
        <f t="shared" si="0"/>
        <v>8500000</v>
      </c>
      <c r="X18" s="25">
        <f t="shared" si="9"/>
        <v>7600000</v>
      </c>
      <c r="Y18" s="25">
        <f t="shared" si="10"/>
        <v>12000000</v>
      </c>
      <c r="Z18" s="25">
        <f t="shared" si="11"/>
        <v>4080000</v>
      </c>
      <c r="AA18" s="25">
        <f t="shared" si="12"/>
        <v>2800000</v>
      </c>
      <c r="AB18" s="25">
        <f t="shared" si="13"/>
        <v>6000000</v>
      </c>
      <c r="AC18" s="23">
        <f t="shared" si="16"/>
        <v>0.48</v>
      </c>
      <c r="AD18" s="23">
        <f t="shared" si="17"/>
        <v>0.20319586559734515</v>
      </c>
    </row>
    <row r="19" spans="1:31" x14ac:dyDescent="0.3">
      <c r="A19" s="21">
        <v>43602</v>
      </c>
      <c r="B19" s="18">
        <v>9</v>
      </c>
      <c r="C19" s="18" t="s">
        <v>20</v>
      </c>
      <c r="D19" s="22">
        <v>21</v>
      </c>
      <c r="E19" s="22">
        <v>30</v>
      </c>
      <c r="F19" s="22" t="s">
        <v>43</v>
      </c>
      <c r="G19" s="18" t="s">
        <v>34</v>
      </c>
      <c r="H19" s="18" t="s">
        <v>4</v>
      </c>
      <c r="I19" s="18">
        <v>0.47499999999999998</v>
      </c>
      <c r="J19" s="18">
        <v>2.8820000000000001</v>
      </c>
      <c r="K19" s="18">
        <v>6.04</v>
      </c>
      <c r="L19" s="18">
        <f>9.9084-6.0504</f>
        <v>3.8580000000000005</v>
      </c>
      <c r="M19" s="18">
        <v>0</v>
      </c>
      <c r="O19" s="18">
        <v>423</v>
      </c>
      <c r="P19" s="18">
        <v>49</v>
      </c>
      <c r="Q19" s="18">
        <v>5</v>
      </c>
      <c r="S19" s="18">
        <v>394</v>
      </c>
      <c r="T19" s="18">
        <v>35</v>
      </c>
      <c r="U19" s="18">
        <v>2</v>
      </c>
      <c r="V19" s="25">
        <f t="shared" si="3"/>
        <v>0</v>
      </c>
      <c r="W19" s="25">
        <f t="shared" si="0"/>
        <v>8460000</v>
      </c>
      <c r="X19" s="25">
        <f t="shared" si="9"/>
        <v>9800000</v>
      </c>
      <c r="Y19" s="25">
        <f t="shared" si="10"/>
        <v>10000000</v>
      </c>
      <c r="Z19" s="25">
        <f t="shared" si="11"/>
        <v>7880000</v>
      </c>
      <c r="AA19" s="25">
        <f t="shared" si="12"/>
        <v>7000000</v>
      </c>
      <c r="AB19" s="25">
        <f t="shared" si="13"/>
        <v>4000000</v>
      </c>
      <c r="AC19" s="23">
        <f t="shared" si="16"/>
        <v>0.9314420803782506</v>
      </c>
      <c r="AD19" s="23">
        <f t="shared" si="17"/>
        <v>0.58100675608238228</v>
      </c>
    </row>
    <row r="20" spans="1:31" x14ac:dyDescent="0.3">
      <c r="A20" s="21">
        <v>43605</v>
      </c>
      <c r="B20" s="18">
        <v>1</v>
      </c>
      <c r="C20" s="18" t="s">
        <v>35</v>
      </c>
      <c r="D20" s="22">
        <v>5</v>
      </c>
      <c r="E20" s="22">
        <v>4</v>
      </c>
      <c r="F20" s="18" t="s">
        <v>42</v>
      </c>
      <c r="G20" s="18" t="s">
        <v>34</v>
      </c>
      <c r="H20" s="18" t="s">
        <v>4</v>
      </c>
      <c r="I20" s="18">
        <v>0.49</v>
      </c>
      <c r="J20" s="18">
        <v>0.70899999999999996</v>
      </c>
      <c r="K20" s="18">
        <v>5.86</v>
      </c>
      <c r="L20" s="18">
        <f>10.7238-6.1522</f>
        <v>4.571600000000001</v>
      </c>
      <c r="M20" s="18">
        <v>0</v>
      </c>
      <c r="N20" s="18">
        <v>393</v>
      </c>
      <c r="O20" s="18">
        <v>71</v>
      </c>
      <c r="P20" s="18">
        <v>34</v>
      </c>
      <c r="Q20" s="18">
        <v>42</v>
      </c>
      <c r="R20" s="18">
        <v>494</v>
      </c>
      <c r="S20" s="18">
        <v>81</v>
      </c>
      <c r="T20" s="18">
        <v>3</v>
      </c>
      <c r="U20" s="18">
        <v>0</v>
      </c>
      <c r="V20" s="25">
        <f t="shared" si="3"/>
        <v>786000</v>
      </c>
      <c r="W20" s="25">
        <f t="shared" ref="W20:W28" si="18">O20/50*1000*10^3</f>
        <v>1420000</v>
      </c>
      <c r="X20" s="25">
        <f t="shared" ref="X20:X28" si="19">P20/50*1000*10^4</f>
        <v>6800000</v>
      </c>
      <c r="Y20" s="25">
        <f t="shared" ref="Y20:Y28" si="20">Q20/50*1000*10^5</f>
        <v>84000000</v>
      </c>
      <c r="Z20" s="25">
        <f t="shared" ref="Z20:Z28" si="21">S20/50*1000*10^3</f>
        <v>1620000</v>
      </c>
      <c r="AA20" s="25">
        <f t="shared" ref="AA20:AA28" si="22">T20/50*1000*10^4</f>
        <v>600000</v>
      </c>
      <c r="AB20" s="25">
        <f t="shared" ref="AB20:AB28" si="23">U20/50*1000*10^5</f>
        <v>0</v>
      </c>
      <c r="AC20" s="23">
        <f>Z20/AVERAGE($W$26:$W$28)</f>
        <v>1.008298755186722</v>
      </c>
      <c r="AD20" s="23">
        <f>AC20*L20/1.024/K20</f>
        <v>0.76817449292269124</v>
      </c>
    </row>
    <row r="21" spans="1:31" x14ac:dyDescent="0.3">
      <c r="A21" s="21">
        <v>43605</v>
      </c>
      <c r="B21" s="18">
        <v>2</v>
      </c>
      <c r="C21" s="18" t="s">
        <v>35</v>
      </c>
      <c r="D21" s="22">
        <v>47</v>
      </c>
      <c r="E21" s="22">
        <v>30</v>
      </c>
      <c r="F21" s="18" t="s">
        <v>42</v>
      </c>
      <c r="G21" s="18" t="s">
        <v>34</v>
      </c>
      <c r="H21" s="18" t="s">
        <v>4</v>
      </c>
      <c r="I21" s="18">
        <v>0.49</v>
      </c>
      <c r="J21" s="18">
        <v>9.5329999999999995</v>
      </c>
      <c r="K21" s="18">
        <v>9.0399999999999991</v>
      </c>
      <c r="L21" s="18">
        <f>9.6918-6.136</f>
        <v>3.5558000000000005</v>
      </c>
      <c r="M21" s="18">
        <v>3.5000000000000003E-2</v>
      </c>
      <c r="N21" s="32">
        <v>302</v>
      </c>
      <c r="O21" s="18">
        <v>44</v>
      </c>
      <c r="P21" s="18">
        <v>5</v>
      </c>
      <c r="Q21" s="18">
        <v>0</v>
      </c>
      <c r="R21" s="18">
        <v>588</v>
      </c>
      <c r="S21" s="18">
        <v>104</v>
      </c>
      <c r="T21" s="18">
        <v>11</v>
      </c>
      <c r="U21" s="18">
        <v>1</v>
      </c>
      <c r="V21" s="25">
        <f t="shared" si="3"/>
        <v>604000</v>
      </c>
      <c r="W21" s="25">
        <f t="shared" si="18"/>
        <v>880000</v>
      </c>
      <c r="X21" s="25">
        <f t="shared" si="19"/>
        <v>1000000</v>
      </c>
      <c r="Y21" s="25">
        <f t="shared" si="20"/>
        <v>0</v>
      </c>
      <c r="Z21" s="25">
        <f t="shared" si="21"/>
        <v>2080000</v>
      </c>
      <c r="AA21" s="25">
        <f t="shared" si="22"/>
        <v>2200000</v>
      </c>
      <c r="AB21" s="25">
        <f t="shared" si="23"/>
        <v>2000000</v>
      </c>
      <c r="AC21" s="23">
        <f>Z21/AVERAGE($W$26:$W$28)</f>
        <v>1.2946058091286305</v>
      </c>
      <c r="AD21" s="23">
        <f>AC21*L21/1.024/K21</f>
        <v>0.49728629443138839</v>
      </c>
    </row>
    <row r="22" spans="1:31" x14ac:dyDescent="0.3">
      <c r="A22" s="21">
        <v>43605</v>
      </c>
      <c r="B22" s="18">
        <v>3</v>
      </c>
      <c r="C22" s="18" t="s">
        <v>35</v>
      </c>
      <c r="D22" s="22">
        <v>21</v>
      </c>
      <c r="E22" s="22">
        <v>4</v>
      </c>
      <c r="F22" s="18" t="s">
        <v>42</v>
      </c>
      <c r="G22" s="18" t="s">
        <v>34</v>
      </c>
      <c r="H22" s="18" t="s">
        <v>4</v>
      </c>
      <c r="I22" s="18">
        <v>0.49</v>
      </c>
      <c r="J22" s="18">
        <v>2.794</v>
      </c>
      <c r="K22" s="18">
        <v>6.04</v>
      </c>
      <c r="L22" s="18">
        <f>8.8975-6.0358</f>
        <v>2.8617000000000008</v>
      </c>
      <c r="M22" s="18">
        <v>0</v>
      </c>
      <c r="N22" s="18">
        <v>318</v>
      </c>
      <c r="O22" s="18">
        <v>36</v>
      </c>
      <c r="P22" s="18">
        <v>2</v>
      </c>
      <c r="Q22" s="18">
        <v>0</v>
      </c>
      <c r="S22" s="18">
        <v>56</v>
      </c>
      <c r="T22" s="18">
        <v>6</v>
      </c>
      <c r="U22" s="18">
        <v>2</v>
      </c>
      <c r="V22" s="25">
        <f t="shared" si="3"/>
        <v>636000</v>
      </c>
      <c r="W22" s="25">
        <f t="shared" si="18"/>
        <v>720000</v>
      </c>
      <c r="X22" s="25">
        <f t="shared" si="19"/>
        <v>400000</v>
      </c>
      <c r="Y22" s="25">
        <f t="shared" si="20"/>
        <v>0</v>
      </c>
      <c r="Z22" s="25">
        <f t="shared" si="21"/>
        <v>1120000</v>
      </c>
      <c r="AA22" s="25">
        <f t="shared" si="22"/>
        <v>1200000</v>
      </c>
      <c r="AB22" s="25">
        <f t="shared" si="23"/>
        <v>4000000</v>
      </c>
      <c r="AC22" s="23">
        <f t="shared" ref="AC22:AC28" si="24">Z22/AVERAGE($W$26:$W$28)</f>
        <v>0.69709543568464727</v>
      </c>
      <c r="AD22" s="23">
        <f t="shared" ref="AD22:AD28" si="25">AC22*L22/1.024/K22</f>
        <v>0.32253692963232672</v>
      </c>
    </row>
    <row r="23" spans="1:31" x14ac:dyDescent="0.3">
      <c r="A23" s="21">
        <v>43605</v>
      </c>
      <c r="B23" s="18">
        <v>4</v>
      </c>
      <c r="C23" s="18" t="s">
        <v>35</v>
      </c>
      <c r="D23" s="22">
        <v>5</v>
      </c>
      <c r="E23" s="22">
        <v>30</v>
      </c>
      <c r="F23" s="18" t="s">
        <v>42</v>
      </c>
      <c r="G23" s="18" t="s">
        <v>34</v>
      </c>
      <c r="H23" s="18" t="s">
        <v>4</v>
      </c>
      <c r="I23" s="18">
        <v>0.49</v>
      </c>
      <c r="J23" s="18">
        <v>0.70899999999999996</v>
      </c>
      <c r="K23" s="18">
        <v>5.86</v>
      </c>
      <c r="L23" s="18">
        <f>10.5992-6.0743</f>
        <v>4.5248999999999997</v>
      </c>
      <c r="M23" s="18">
        <v>0</v>
      </c>
      <c r="N23" s="18">
        <v>368</v>
      </c>
      <c r="O23" s="18">
        <v>32</v>
      </c>
      <c r="P23" s="18">
        <v>3</v>
      </c>
      <c r="Q23" s="18">
        <v>1</v>
      </c>
      <c r="R23" s="18">
        <v>278</v>
      </c>
      <c r="S23" s="18">
        <v>40</v>
      </c>
      <c r="T23" s="18">
        <v>4</v>
      </c>
      <c r="U23" s="18">
        <v>1</v>
      </c>
      <c r="V23" s="25">
        <f t="shared" si="3"/>
        <v>736000</v>
      </c>
      <c r="W23" s="25">
        <f t="shared" si="18"/>
        <v>640000</v>
      </c>
      <c r="X23" s="25">
        <f t="shared" si="19"/>
        <v>600000</v>
      </c>
      <c r="Y23" s="25">
        <f t="shared" si="20"/>
        <v>2000000</v>
      </c>
      <c r="Z23" s="25">
        <f t="shared" si="21"/>
        <v>800000</v>
      </c>
      <c r="AA23" s="25">
        <f t="shared" si="22"/>
        <v>800000</v>
      </c>
      <c r="AB23" s="25">
        <f t="shared" si="23"/>
        <v>2000000</v>
      </c>
      <c r="AC23" s="23">
        <f t="shared" si="24"/>
        <v>0.49792531120331945</v>
      </c>
      <c r="AD23" s="23">
        <f t="shared" si="25"/>
        <v>0.37547032327616725</v>
      </c>
    </row>
    <row r="24" spans="1:31" x14ac:dyDescent="0.3">
      <c r="A24" s="21">
        <v>43605</v>
      </c>
      <c r="B24" s="18">
        <v>5</v>
      </c>
      <c r="C24" s="18" t="s">
        <v>35</v>
      </c>
      <c r="D24" s="22">
        <v>21</v>
      </c>
      <c r="E24" s="22">
        <v>8</v>
      </c>
      <c r="F24" s="18" t="s">
        <v>42</v>
      </c>
      <c r="G24" s="18" t="s">
        <v>34</v>
      </c>
      <c r="H24" s="18" t="s">
        <v>4</v>
      </c>
      <c r="I24" s="18">
        <v>0.49</v>
      </c>
      <c r="J24" s="18">
        <v>2.794</v>
      </c>
      <c r="K24" s="18">
        <v>6.04</v>
      </c>
      <c r="L24" s="18">
        <f>10.1394-6.1573</f>
        <v>3.9821</v>
      </c>
      <c r="M24" s="18">
        <v>5.0000000000000001E-3</v>
      </c>
      <c r="N24" s="18">
        <v>311</v>
      </c>
      <c r="O24" s="18">
        <v>38</v>
      </c>
      <c r="P24" s="18">
        <v>6</v>
      </c>
      <c r="Q24" s="18">
        <v>1</v>
      </c>
      <c r="S24" s="18">
        <v>65</v>
      </c>
      <c r="T24" s="18">
        <v>12</v>
      </c>
      <c r="U24" s="18">
        <v>0</v>
      </c>
      <c r="V24" s="25">
        <f t="shared" si="3"/>
        <v>622000</v>
      </c>
      <c r="W24" s="25">
        <f>O24/50*1000*10^3</f>
        <v>760000</v>
      </c>
      <c r="X24" s="25">
        <f t="shared" si="19"/>
        <v>1200000</v>
      </c>
      <c r="Y24" s="25">
        <f t="shared" si="20"/>
        <v>2000000</v>
      </c>
      <c r="Z24" s="25">
        <f>S24/50*1000*10^3</f>
        <v>1300000</v>
      </c>
      <c r="AA24" s="25">
        <f t="shared" si="22"/>
        <v>2400000</v>
      </c>
      <c r="AB24" s="25">
        <f t="shared" si="23"/>
        <v>0</v>
      </c>
      <c r="AC24" s="23">
        <f t="shared" si="24"/>
        <v>0.8091286307053942</v>
      </c>
      <c r="AD24" s="23">
        <f t="shared" si="25"/>
        <v>0.52094615330284277</v>
      </c>
    </row>
    <row r="25" spans="1:31" s="28" customFormat="1" x14ac:dyDescent="0.3">
      <c r="A25" s="27">
        <v>43605</v>
      </c>
      <c r="B25" s="28">
        <v>6</v>
      </c>
      <c r="C25" s="28" t="s">
        <v>35</v>
      </c>
      <c r="D25" s="29">
        <v>5</v>
      </c>
      <c r="E25" s="29">
        <v>8</v>
      </c>
      <c r="F25" s="28" t="s">
        <v>42</v>
      </c>
      <c r="G25" s="28" t="s">
        <v>34</v>
      </c>
      <c r="H25" s="28" t="s">
        <v>4</v>
      </c>
      <c r="I25" s="28">
        <v>0.49</v>
      </c>
      <c r="J25" s="28">
        <v>0.70899999999999996</v>
      </c>
      <c r="K25" s="28">
        <v>5.86</v>
      </c>
    </row>
    <row r="26" spans="1:31" x14ac:dyDescent="0.3">
      <c r="A26" s="21">
        <v>43605</v>
      </c>
      <c r="B26" s="18">
        <v>7</v>
      </c>
      <c r="C26" s="18" t="s">
        <v>35</v>
      </c>
      <c r="D26" s="22">
        <v>47</v>
      </c>
      <c r="E26" s="22">
        <v>4</v>
      </c>
      <c r="F26" s="18" t="s">
        <v>42</v>
      </c>
      <c r="G26" s="18" t="s">
        <v>34</v>
      </c>
      <c r="H26" s="18" t="s">
        <v>4</v>
      </c>
      <c r="I26" s="18">
        <v>0.49</v>
      </c>
      <c r="J26" s="18">
        <v>9.5329999999999995</v>
      </c>
      <c r="K26" s="18">
        <v>9.0399999999999991</v>
      </c>
      <c r="L26" s="18">
        <f>9.6071-6.0893</f>
        <v>3.5178000000000011</v>
      </c>
      <c r="M26" s="18">
        <v>0.22</v>
      </c>
      <c r="N26" s="18">
        <v>364</v>
      </c>
      <c r="O26" s="18">
        <v>84</v>
      </c>
      <c r="P26" s="18">
        <v>37</v>
      </c>
      <c r="Q26" s="18">
        <v>29</v>
      </c>
      <c r="S26" s="18">
        <v>85</v>
      </c>
      <c r="T26" s="18">
        <v>13</v>
      </c>
      <c r="U26" s="18">
        <v>2</v>
      </c>
      <c r="V26" s="25">
        <f t="shared" si="3"/>
        <v>728000</v>
      </c>
      <c r="W26" s="25">
        <f>O26/50*1000*10^3</f>
        <v>1680000</v>
      </c>
      <c r="X26" s="25">
        <f t="shared" si="19"/>
        <v>7400000</v>
      </c>
      <c r="Y26" s="25">
        <f t="shared" si="20"/>
        <v>58000000</v>
      </c>
      <c r="Z26" s="25">
        <f t="shared" si="21"/>
        <v>1700000</v>
      </c>
      <c r="AA26" s="25">
        <f t="shared" si="22"/>
        <v>2600000</v>
      </c>
      <c r="AB26" s="25">
        <f t="shared" si="23"/>
        <v>4000000</v>
      </c>
      <c r="AC26" s="23">
        <f t="shared" si="24"/>
        <v>1.058091286307054</v>
      </c>
      <c r="AD26" s="23">
        <f t="shared" si="25"/>
        <v>0.40209242850470955</v>
      </c>
    </row>
    <row r="27" spans="1:31" x14ac:dyDescent="0.3">
      <c r="A27" s="21">
        <v>43605</v>
      </c>
      <c r="B27" s="18">
        <v>8</v>
      </c>
      <c r="C27" s="18" t="s">
        <v>35</v>
      </c>
      <c r="D27" s="22">
        <v>21</v>
      </c>
      <c r="E27" s="22">
        <v>30</v>
      </c>
      <c r="F27" s="18" t="s">
        <v>42</v>
      </c>
      <c r="G27" s="18" t="s">
        <v>34</v>
      </c>
      <c r="H27" s="18" t="s">
        <v>4</v>
      </c>
      <c r="I27" s="18">
        <v>0.49</v>
      </c>
      <c r="J27" s="18">
        <v>2.794</v>
      </c>
      <c r="K27" s="18">
        <v>6.04</v>
      </c>
      <c r="L27" s="18">
        <f>9.9421-6.1034</f>
        <v>3.8387000000000002</v>
      </c>
      <c r="M27" s="18">
        <v>0</v>
      </c>
      <c r="N27" s="18">
        <v>379</v>
      </c>
      <c r="O27" s="18">
        <v>78</v>
      </c>
      <c r="P27" s="18">
        <v>40</v>
      </c>
      <c r="Q27" s="18">
        <v>32</v>
      </c>
      <c r="R27" s="18">
        <v>445</v>
      </c>
      <c r="S27" s="18">
        <v>66</v>
      </c>
      <c r="T27" s="18">
        <v>44</v>
      </c>
      <c r="U27" s="18">
        <v>41</v>
      </c>
      <c r="V27" s="25">
        <f t="shared" si="3"/>
        <v>758000</v>
      </c>
      <c r="W27" s="25">
        <f t="shared" si="18"/>
        <v>1560000</v>
      </c>
      <c r="X27" s="25">
        <f t="shared" si="19"/>
        <v>8000000</v>
      </c>
      <c r="Y27" s="25">
        <f t="shared" si="20"/>
        <v>64000000</v>
      </c>
      <c r="Z27" s="25">
        <f t="shared" si="21"/>
        <v>1320000</v>
      </c>
      <c r="AA27" s="25">
        <f t="shared" si="22"/>
        <v>8800000</v>
      </c>
      <c r="AB27" s="25">
        <f t="shared" si="23"/>
        <v>82000000</v>
      </c>
      <c r="AC27" s="23">
        <f t="shared" si="24"/>
        <v>0.82157676348547715</v>
      </c>
      <c r="AD27" s="23">
        <f t="shared" si="25"/>
        <v>0.50991222610844711</v>
      </c>
    </row>
    <row r="28" spans="1:31" x14ac:dyDescent="0.3">
      <c r="A28" s="21">
        <v>43605</v>
      </c>
      <c r="B28" s="18">
        <v>9</v>
      </c>
      <c r="C28" s="18" t="s">
        <v>35</v>
      </c>
      <c r="D28" s="22">
        <v>47</v>
      </c>
      <c r="E28" s="22">
        <v>8</v>
      </c>
      <c r="F28" s="18" t="s">
        <v>42</v>
      </c>
      <c r="G28" s="18" t="s">
        <v>34</v>
      </c>
      <c r="H28" s="18" t="s">
        <v>4</v>
      </c>
      <c r="I28" s="18">
        <v>0.49</v>
      </c>
      <c r="J28" s="18">
        <v>9.5329999999999995</v>
      </c>
      <c r="K28" s="18">
        <v>9.0399999999999991</v>
      </c>
      <c r="L28" s="18">
        <f>10.237-6.1774</f>
        <v>4.0596000000000005</v>
      </c>
      <c r="M28" s="18">
        <v>0.19</v>
      </c>
      <c r="N28" s="18">
        <v>437</v>
      </c>
      <c r="O28" s="18">
        <v>79</v>
      </c>
      <c r="P28" s="18">
        <v>42</v>
      </c>
      <c r="Q28" s="18">
        <v>32</v>
      </c>
      <c r="R28" s="18">
        <v>587</v>
      </c>
      <c r="S28" s="18">
        <v>98</v>
      </c>
      <c r="T28" s="18">
        <v>38</v>
      </c>
      <c r="U28" s="18">
        <v>32</v>
      </c>
      <c r="V28" s="25">
        <f t="shared" si="3"/>
        <v>874000</v>
      </c>
      <c r="W28" s="25">
        <f t="shared" si="18"/>
        <v>1580000</v>
      </c>
      <c r="X28" s="25">
        <f t="shared" si="19"/>
        <v>8400000</v>
      </c>
      <c r="Y28" s="25">
        <f t="shared" si="20"/>
        <v>64000000</v>
      </c>
      <c r="Z28" s="25">
        <f t="shared" si="21"/>
        <v>1960000</v>
      </c>
      <c r="AA28" s="25">
        <f t="shared" si="22"/>
        <v>7600000</v>
      </c>
      <c r="AB28" s="25">
        <f t="shared" si="23"/>
        <v>64000000</v>
      </c>
      <c r="AC28" s="23">
        <f t="shared" si="24"/>
        <v>1.2199170124481327</v>
      </c>
      <c r="AD28" s="23">
        <f t="shared" si="25"/>
        <v>0.53498935976113549</v>
      </c>
    </row>
    <row r="29" spans="1:31" x14ac:dyDescent="0.3">
      <c r="A29" s="21">
        <v>43607</v>
      </c>
      <c r="B29" s="18">
        <v>1</v>
      </c>
      <c r="C29" s="18" t="s">
        <v>36</v>
      </c>
      <c r="D29" s="22">
        <v>5</v>
      </c>
      <c r="E29" s="22">
        <v>30</v>
      </c>
      <c r="F29" s="18" t="s">
        <v>42</v>
      </c>
      <c r="G29" s="18" t="s">
        <v>34</v>
      </c>
      <c r="H29" s="18" t="s">
        <v>4</v>
      </c>
      <c r="I29" s="18">
        <v>0.51</v>
      </c>
      <c r="J29" s="18">
        <v>0.68200000000000005</v>
      </c>
      <c r="K29" s="18">
        <v>5.86</v>
      </c>
      <c r="L29" s="18">
        <f>10.7668-5.8408</f>
        <v>4.9260000000000002</v>
      </c>
      <c r="M29" s="18">
        <v>0</v>
      </c>
      <c r="P29" s="18">
        <v>210</v>
      </c>
      <c r="Q29" s="18">
        <v>19</v>
      </c>
      <c r="T29" s="18">
        <v>228</v>
      </c>
      <c r="U29" s="18">
        <v>35</v>
      </c>
      <c r="V29" s="25">
        <f t="shared" ref="V29:V37" si="26">N29/50*1000*10^2</f>
        <v>0</v>
      </c>
      <c r="W29" s="25">
        <f t="shared" ref="W29:W37" si="27">O29/50*1000*10^3</f>
        <v>0</v>
      </c>
      <c r="X29" s="25">
        <f t="shared" ref="X29:X37" si="28">P29/50*1000*10^4</f>
        <v>42000000</v>
      </c>
      <c r="Y29" s="25">
        <f t="shared" ref="Y29:Y37" si="29">Q29/50*1000*10^5</f>
        <v>38000000</v>
      </c>
      <c r="Z29" s="25">
        <f t="shared" ref="Z29:Z46" si="30">S29/50*1000*10^3</f>
        <v>0</v>
      </c>
      <c r="AA29" s="25">
        <f t="shared" ref="AA29:AA37" si="31">T29/50*1000*10^4</f>
        <v>45600000</v>
      </c>
      <c r="AB29" s="25">
        <f t="shared" ref="AB29:AB37" si="32">U29/50*1000*10^5</f>
        <v>70000000</v>
      </c>
      <c r="AC29" s="23">
        <f>AA29/AVERAGE($X$29:$X$37)</f>
        <v>1.0243354548858103</v>
      </c>
      <c r="AD29" s="33">
        <f>AC29*L29/1.024/K29</f>
        <v>0.84088971355847075</v>
      </c>
      <c r="AE29" s="33"/>
    </row>
    <row r="30" spans="1:31" x14ac:dyDescent="0.3">
      <c r="A30" s="21">
        <v>43607</v>
      </c>
      <c r="B30" s="18">
        <v>2</v>
      </c>
      <c r="C30" s="18" t="s">
        <v>36</v>
      </c>
      <c r="D30" s="22">
        <v>21</v>
      </c>
      <c r="E30" s="22">
        <v>4</v>
      </c>
      <c r="F30" s="18" t="s">
        <v>42</v>
      </c>
      <c r="G30" s="18" t="s">
        <v>34</v>
      </c>
      <c r="H30" s="18" t="s">
        <v>4</v>
      </c>
      <c r="I30" s="18">
        <v>0.51</v>
      </c>
      <c r="J30" s="18">
        <v>2.6840000000000002</v>
      </c>
      <c r="K30" s="18">
        <v>6.04</v>
      </c>
      <c r="L30" s="18">
        <f>9.7993-5.831</f>
        <v>3.9683000000000002</v>
      </c>
      <c r="M30" s="18">
        <v>0.01</v>
      </c>
      <c r="P30" s="18">
        <v>207</v>
      </c>
      <c r="Q30" s="18">
        <v>26</v>
      </c>
      <c r="T30" s="18">
        <v>229</v>
      </c>
      <c r="U30" s="18">
        <v>41</v>
      </c>
      <c r="V30" s="25">
        <f t="shared" si="26"/>
        <v>0</v>
      </c>
      <c r="W30" s="25">
        <f t="shared" si="27"/>
        <v>0</v>
      </c>
      <c r="X30" s="25">
        <f t="shared" si="28"/>
        <v>41400000</v>
      </c>
      <c r="Y30" s="25">
        <f t="shared" si="29"/>
        <v>52000000</v>
      </c>
      <c r="Z30" s="25">
        <f t="shared" si="30"/>
        <v>0</v>
      </c>
      <c r="AA30" s="25">
        <f t="shared" si="31"/>
        <v>45800000</v>
      </c>
      <c r="AB30" s="25">
        <f t="shared" si="32"/>
        <v>82000000</v>
      </c>
      <c r="AC30" s="23">
        <f t="shared" ref="AC30:AC31" si="33">AA30/AVERAGE($X$29:$X$37)</f>
        <v>1.0288281542493447</v>
      </c>
      <c r="AD30" s="33">
        <f t="shared" ref="AD30:AD31" si="34">AC30*L30/1.024/K30</f>
        <v>0.66010107818121289</v>
      </c>
      <c r="AE30" s="33"/>
    </row>
    <row r="31" spans="1:31" x14ac:dyDescent="0.3">
      <c r="A31" s="21">
        <v>43607</v>
      </c>
      <c r="B31" s="18">
        <v>3</v>
      </c>
      <c r="C31" s="18" t="s">
        <v>36</v>
      </c>
      <c r="D31" s="22">
        <v>47</v>
      </c>
      <c r="E31" s="22">
        <v>8</v>
      </c>
      <c r="F31" s="18" t="s">
        <v>42</v>
      </c>
      <c r="G31" s="18" t="s">
        <v>34</v>
      </c>
      <c r="H31" s="18" t="s">
        <v>4</v>
      </c>
      <c r="I31" s="18">
        <v>0.51</v>
      </c>
      <c r="J31" s="18">
        <v>9.16</v>
      </c>
      <c r="K31" s="18">
        <v>9.0399999999999991</v>
      </c>
      <c r="L31" s="18">
        <f>9.6065-5.8172</f>
        <v>3.7893000000000008</v>
      </c>
      <c r="M31" s="18">
        <v>0.17</v>
      </c>
      <c r="P31" s="18">
        <f>203*16/12</f>
        <v>270.66666666666669</v>
      </c>
      <c r="Q31" s="18">
        <v>29</v>
      </c>
      <c r="T31" s="18">
        <v>224</v>
      </c>
      <c r="U31" s="18">
        <v>21</v>
      </c>
      <c r="V31" s="25">
        <f>N31/50*1000*10^2</f>
        <v>0</v>
      </c>
      <c r="W31" s="25">
        <f t="shared" si="27"/>
        <v>0</v>
      </c>
      <c r="X31" s="25">
        <f t="shared" si="28"/>
        <v>54133333.333333336</v>
      </c>
      <c r="Y31" s="25">
        <f t="shared" si="29"/>
        <v>58000000</v>
      </c>
      <c r="Z31" s="25">
        <f t="shared" si="30"/>
        <v>0</v>
      </c>
      <c r="AA31" s="25">
        <f>T31/50*1000*10^4</f>
        <v>44800000</v>
      </c>
      <c r="AB31" s="25">
        <f t="shared" si="32"/>
        <v>42000000</v>
      </c>
      <c r="AC31" s="23">
        <f t="shared" si="33"/>
        <v>1.0063646574316734</v>
      </c>
      <c r="AD31" s="33">
        <f t="shared" si="34"/>
        <v>0.41195139618253085</v>
      </c>
      <c r="AE31" s="33"/>
    </row>
    <row r="32" spans="1:31" x14ac:dyDescent="0.3">
      <c r="A32" s="21">
        <v>43607</v>
      </c>
      <c r="B32" s="18">
        <v>4</v>
      </c>
      <c r="C32" s="18" t="s">
        <v>36</v>
      </c>
      <c r="D32" s="22">
        <v>5</v>
      </c>
      <c r="E32" s="22">
        <v>4</v>
      </c>
      <c r="F32" s="18" t="s">
        <v>42</v>
      </c>
      <c r="G32" s="18" t="s">
        <v>34</v>
      </c>
      <c r="H32" s="18" t="s">
        <v>4</v>
      </c>
      <c r="I32" s="18">
        <v>0.51</v>
      </c>
      <c r="J32" s="18">
        <v>0.68200000000000005</v>
      </c>
      <c r="K32" s="18">
        <v>5.86</v>
      </c>
      <c r="L32" s="18">
        <f>10.75-5.871</f>
        <v>4.8789999999999996</v>
      </c>
      <c r="M32" s="18">
        <v>0</v>
      </c>
      <c r="Q32" s="32">
        <v>117</v>
      </c>
      <c r="T32" s="18">
        <v>252</v>
      </c>
      <c r="U32" s="18">
        <v>52</v>
      </c>
      <c r="V32" s="25">
        <f t="shared" si="26"/>
        <v>0</v>
      </c>
      <c r="W32" s="25">
        <f t="shared" si="27"/>
        <v>0</v>
      </c>
      <c r="X32" s="25"/>
      <c r="Y32" s="25"/>
      <c r="Z32" s="25">
        <f t="shared" si="30"/>
        <v>0</v>
      </c>
      <c r="AA32" s="25">
        <f t="shared" si="31"/>
        <v>50400000</v>
      </c>
      <c r="AB32" s="25">
        <f>U32/50*1000*10^5</f>
        <v>104000000</v>
      </c>
      <c r="AC32" s="23">
        <f>AA32/AVERAGE($X$29:$X$37)</f>
        <v>1.1321602396106325</v>
      </c>
      <c r="AD32" s="33">
        <f>AC32*L32/1.024/K32</f>
        <v>0.92053677758710317</v>
      </c>
      <c r="AE32" s="33"/>
    </row>
    <row r="33" spans="1:31" x14ac:dyDescent="0.3">
      <c r="A33" s="21">
        <v>43607</v>
      </c>
      <c r="B33" s="18">
        <v>5</v>
      </c>
      <c r="C33" s="18" t="s">
        <v>36</v>
      </c>
      <c r="D33" s="22">
        <v>47</v>
      </c>
      <c r="E33" s="22">
        <v>30</v>
      </c>
      <c r="F33" s="18" t="s">
        <v>42</v>
      </c>
      <c r="G33" s="18" t="s">
        <v>34</v>
      </c>
      <c r="H33" s="18" t="s">
        <v>4</v>
      </c>
      <c r="I33" s="18">
        <v>0.51</v>
      </c>
      <c r="J33" s="18">
        <v>9.16</v>
      </c>
      <c r="K33" s="18">
        <v>9.0399999999999991</v>
      </c>
      <c r="L33" s="18">
        <f>9.5972-5.8599</f>
        <v>3.7373000000000012</v>
      </c>
      <c r="M33" s="18">
        <v>3.0000000000000001E-3</v>
      </c>
      <c r="P33" s="18">
        <v>226</v>
      </c>
      <c r="Q33" s="18">
        <v>16</v>
      </c>
      <c r="T33" s="18">
        <v>211</v>
      </c>
      <c r="U33" s="18">
        <v>39</v>
      </c>
      <c r="V33" s="25">
        <f t="shared" si="26"/>
        <v>0</v>
      </c>
      <c r="W33" s="25">
        <f t="shared" si="27"/>
        <v>0</v>
      </c>
      <c r="X33" s="25">
        <f t="shared" si="28"/>
        <v>45200000</v>
      </c>
      <c r="Y33" s="25">
        <f t="shared" si="29"/>
        <v>32000000</v>
      </c>
      <c r="Z33" s="25">
        <f t="shared" si="30"/>
        <v>0</v>
      </c>
      <c r="AA33" s="25">
        <f t="shared" si="31"/>
        <v>42200000</v>
      </c>
      <c r="AB33" s="25">
        <f t="shared" si="32"/>
        <v>78000000</v>
      </c>
      <c r="AC33" s="23">
        <f t="shared" ref="AC33:AC37" si="35">AA33/AVERAGE($X$29:$X$37)</f>
        <v>0.94795956570572804</v>
      </c>
      <c r="AD33" s="33">
        <f t="shared" ref="AD33:AD37" si="36">AC33*L33/1.024/K33</f>
        <v>0.38271843941337313</v>
      </c>
      <c r="AE33" s="33"/>
    </row>
    <row r="34" spans="1:31" x14ac:dyDescent="0.3">
      <c r="A34" s="21">
        <v>43607</v>
      </c>
      <c r="B34" s="18">
        <v>6</v>
      </c>
      <c r="C34" s="18" t="s">
        <v>36</v>
      </c>
      <c r="D34" s="22">
        <v>21</v>
      </c>
      <c r="E34" s="22">
        <v>30</v>
      </c>
      <c r="F34" s="31" t="s">
        <v>42</v>
      </c>
      <c r="G34" s="31" t="s">
        <v>34</v>
      </c>
      <c r="H34" s="31" t="s">
        <v>4</v>
      </c>
      <c r="I34" s="18">
        <v>0.51</v>
      </c>
      <c r="J34" s="18">
        <v>2.6840000000000002</v>
      </c>
      <c r="K34" s="18">
        <v>6.04</v>
      </c>
      <c r="L34" s="18">
        <f>9.7874-5.8255</f>
        <v>3.9619</v>
      </c>
      <c r="M34" s="18">
        <v>0</v>
      </c>
      <c r="P34" s="18">
        <v>175</v>
      </c>
      <c r="Q34" s="18">
        <v>13</v>
      </c>
      <c r="T34" s="18">
        <v>231</v>
      </c>
      <c r="U34" s="18">
        <v>24</v>
      </c>
      <c r="V34" s="25">
        <f t="shared" si="26"/>
        <v>0</v>
      </c>
      <c r="W34" s="25">
        <f t="shared" si="27"/>
        <v>0</v>
      </c>
      <c r="X34" s="25">
        <f t="shared" si="28"/>
        <v>35000000</v>
      </c>
      <c r="Y34" s="25">
        <f t="shared" si="29"/>
        <v>26000000</v>
      </c>
      <c r="Z34" s="25">
        <f t="shared" si="30"/>
        <v>0</v>
      </c>
      <c r="AA34" s="25">
        <f t="shared" si="31"/>
        <v>46200000</v>
      </c>
      <c r="AB34" s="25">
        <f t="shared" si="32"/>
        <v>48000000</v>
      </c>
      <c r="AC34" s="23">
        <f t="shared" si="35"/>
        <v>1.0378135529764132</v>
      </c>
      <c r="AD34" s="33">
        <f t="shared" si="36"/>
        <v>0.66479225662530572</v>
      </c>
      <c r="AE34" s="33"/>
    </row>
    <row r="35" spans="1:31" x14ac:dyDescent="0.3">
      <c r="A35" s="21">
        <v>43607</v>
      </c>
      <c r="B35" s="18">
        <v>7</v>
      </c>
      <c r="C35" s="18" t="s">
        <v>36</v>
      </c>
      <c r="D35" s="30">
        <v>5</v>
      </c>
      <c r="E35" s="30">
        <v>8</v>
      </c>
      <c r="F35" s="18" t="s">
        <v>42</v>
      </c>
      <c r="G35" s="18" t="s">
        <v>34</v>
      </c>
      <c r="H35" s="18" t="s">
        <v>4</v>
      </c>
      <c r="I35" s="18">
        <v>0.51</v>
      </c>
      <c r="J35" s="18">
        <v>0.68200000000000005</v>
      </c>
      <c r="K35" s="18">
        <v>5.86</v>
      </c>
      <c r="L35" s="20">
        <f>10.8153-5.9987</f>
        <v>4.8166000000000002</v>
      </c>
      <c r="M35" s="18">
        <v>0</v>
      </c>
      <c r="P35" s="18">
        <v>239</v>
      </c>
      <c r="Q35" s="18">
        <v>28</v>
      </c>
      <c r="T35" s="18">
        <v>190</v>
      </c>
      <c r="U35" s="18">
        <v>24</v>
      </c>
      <c r="V35" s="25">
        <f t="shared" si="26"/>
        <v>0</v>
      </c>
      <c r="W35" s="25">
        <f t="shared" si="27"/>
        <v>0</v>
      </c>
      <c r="X35" s="25">
        <f t="shared" si="28"/>
        <v>47800000</v>
      </c>
      <c r="Y35" s="25">
        <f t="shared" si="29"/>
        <v>56000000</v>
      </c>
      <c r="Z35" s="25">
        <f t="shared" si="30"/>
        <v>0</v>
      </c>
      <c r="AA35" s="25">
        <f t="shared" si="31"/>
        <v>38000000</v>
      </c>
      <c r="AB35" s="25">
        <f t="shared" si="32"/>
        <v>48000000</v>
      </c>
      <c r="AC35" s="23">
        <f t="shared" si="35"/>
        <v>0.85361287907150873</v>
      </c>
      <c r="AD35" s="33">
        <f t="shared" si="36"/>
        <v>0.68517887980879177</v>
      </c>
      <c r="AE35" s="33"/>
    </row>
    <row r="36" spans="1:31" x14ac:dyDescent="0.3">
      <c r="A36" s="21">
        <v>43607</v>
      </c>
      <c r="B36" s="18">
        <v>8</v>
      </c>
      <c r="C36" s="18" t="s">
        <v>36</v>
      </c>
      <c r="D36" s="22">
        <v>47</v>
      </c>
      <c r="E36" s="22">
        <v>4</v>
      </c>
      <c r="F36" s="18" t="s">
        <v>42</v>
      </c>
      <c r="G36" s="18" t="s">
        <v>34</v>
      </c>
      <c r="H36" s="18" t="s">
        <v>4</v>
      </c>
      <c r="I36" s="18">
        <v>0.51</v>
      </c>
      <c r="J36" s="18">
        <v>9.16</v>
      </c>
      <c r="K36" s="18">
        <v>9.0399999999999991</v>
      </c>
      <c r="L36" s="18">
        <f>10.135-5.962</f>
        <v>4.173</v>
      </c>
      <c r="M36" s="18">
        <v>0.22</v>
      </c>
      <c r="P36" s="18">
        <v>225</v>
      </c>
      <c r="Q36" s="18">
        <v>38</v>
      </c>
      <c r="T36" s="18">
        <v>149</v>
      </c>
      <c r="U36" s="18">
        <v>17</v>
      </c>
      <c r="V36" s="25">
        <f t="shared" si="26"/>
        <v>0</v>
      </c>
      <c r="W36" s="25">
        <f t="shared" si="27"/>
        <v>0</v>
      </c>
      <c r="X36" s="25">
        <f t="shared" si="28"/>
        <v>45000000</v>
      </c>
      <c r="Y36" s="25">
        <f t="shared" si="29"/>
        <v>76000000</v>
      </c>
      <c r="Z36" s="25">
        <f t="shared" si="30"/>
        <v>0</v>
      </c>
      <c r="AA36" s="25">
        <f t="shared" si="31"/>
        <v>29800000</v>
      </c>
      <c r="AB36" s="25">
        <f t="shared" si="32"/>
        <v>34000000</v>
      </c>
      <c r="AC36" s="23">
        <f t="shared" si="35"/>
        <v>0.66941220516660416</v>
      </c>
      <c r="AD36" s="33">
        <f t="shared" si="36"/>
        <v>0.30176830537889754</v>
      </c>
      <c r="AE36" s="33"/>
    </row>
    <row r="37" spans="1:31" x14ac:dyDescent="0.3">
      <c r="A37" s="21">
        <v>43607</v>
      </c>
      <c r="B37" s="18">
        <v>9</v>
      </c>
      <c r="C37" s="18" t="s">
        <v>36</v>
      </c>
      <c r="D37" s="22">
        <v>21</v>
      </c>
      <c r="E37" s="22">
        <v>8</v>
      </c>
      <c r="F37" s="18" t="s">
        <v>42</v>
      </c>
      <c r="G37" s="18" t="s">
        <v>34</v>
      </c>
      <c r="H37" s="18" t="s">
        <v>4</v>
      </c>
      <c r="I37" s="18">
        <v>0.51</v>
      </c>
      <c r="J37" s="18">
        <v>2.6840000000000002</v>
      </c>
      <c r="K37" s="18">
        <v>6.04</v>
      </c>
      <c r="L37" s="18">
        <f>9.9935-5.9028</f>
        <v>4.0906999999999991</v>
      </c>
      <c r="M37" s="18">
        <v>5.0000000000000001E-3</v>
      </c>
      <c r="P37" s="18">
        <v>228</v>
      </c>
      <c r="Q37" s="18">
        <v>20</v>
      </c>
      <c r="T37" s="18">
        <f>196*18/15</f>
        <v>235.2</v>
      </c>
      <c r="U37" s="18">
        <v>16</v>
      </c>
      <c r="V37" s="25">
        <f t="shared" si="26"/>
        <v>0</v>
      </c>
      <c r="W37" s="25">
        <f t="shared" si="27"/>
        <v>0</v>
      </c>
      <c r="X37" s="25">
        <f t="shared" si="28"/>
        <v>45600000</v>
      </c>
      <c r="Y37" s="25">
        <f t="shared" si="29"/>
        <v>40000000</v>
      </c>
      <c r="Z37" s="25">
        <f t="shared" si="30"/>
        <v>0</v>
      </c>
      <c r="AA37" s="25">
        <f t="shared" si="31"/>
        <v>47040000</v>
      </c>
      <c r="AB37" s="25">
        <f t="shared" si="32"/>
        <v>32000000</v>
      </c>
      <c r="AC37" s="23">
        <f t="shared" si="35"/>
        <v>1.056682890303257</v>
      </c>
      <c r="AD37" s="33">
        <f t="shared" si="36"/>
        <v>0.69888450359639065</v>
      </c>
      <c r="AE37" s="33"/>
    </row>
    <row r="38" spans="1:31" x14ac:dyDescent="0.3">
      <c r="A38" s="21">
        <v>43609</v>
      </c>
      <c r="B38" s="18">
        <v>1</v>
      </c>
      <c r="C38" s="18" t="s">
        <v>48</v>
      </c>
      <c r="D38" s="22">
        <v>47</v>
      </c>
      <c r="E38" s="22">
        <v>30</v>
      </c>
      <c r="F38" s="18" t="s">
        <v>42</v>
      </c>
      <c r="G38" s="18" t="s">
        <v>34</v>
      </c>
      <c r="H38" s="18" t="s">
        <v>4</v>
      </c>
      <c r="I38" s="18">
        <v>0.51500000000000001</v>
      </c>
      <c r="J38" s="18">
        <f>9.07</f>
        <v>9.07</v>
      </c>
      <c r="K38" s="18">
        <v>9.0399999999999991</v>
      </c>
      <c r="L38" s="18">
        <f>9.669-6.1084</f>
        <v>3.5606000000000009</v>
      </c>
      <c r="M38" s="18">
        <v>0.03</v>
      </c>
      <c r="P38" s="18">
        <v>357</v>
      </c>
      <c r="Q38" s="18">
        <v>50</v>
      </c>
      <c r="T38" s="18">
        <v>371</v>
      </c>
      <c r="U38" s="18">
        <v>57</v>
      </c>
      <c r="V38" s="25">
        <f t="shared" ref="V38:V46" si="37">N38/50*1000*10^2</f>
        <v>0</v>
      </c>
      <c r="W38" s="25">
        <f>O38/50*1000*10^3</f>
        <v>0</v>
      </c>
      <c r="X38" s="25">
        <f t="shared" ref="X38:X46" si="38">P38/50*1000*10^4</f>
        <v>71400000</v>
      </c>
      <c r="Y38" s="25">
        <f t="shared" ref="Y38:Y46" si="39">Q38/50*1000*10^5</f>
        <v>100000000</v>
      </c>
      <c r="Z38" s="25">
        <f t="shared" si="30"/>
        <v>0</v>
      </c>
      <c r="AA38" s="25">
        <f t="shared" ref="AA38:AA46" si="40">T38/50*1000*10^4</f>
        <v>74200000</v>
      </c>
      <c r="AB38" s="25">
        <f t="shared" ref="AB38:AB46" si="41">U38/50*1000*10^5</f>
        <v>114000000</v>
      </c>
      <c r="AC38" s="23">
        <f>AA38/AVERAGE($X$38,$X$40,$X$42,$X$45,$X$46)</f>
        <v>1.0982830076968622</v>
      </c>
      <c r="AD38" s="33">
        <f t="shared" ref="AD38:AD55" si="42">AC38*L38/1.024/K38</f>
        <v>0.42244392081260462</v>
      </c>
      <c r="AE38" s="18" t="s">
        <v>49</v>
      </c>
    </row>
    <row r="39" spans="1:31" x14ac:dyDescent="0.3">
      <c r="A39" s="21">
        <v>43609</v>
      </c>
      <c r="B39" s="18">
        <v>2</v>
      </c>
      <c r="C39" s="18" t="s">
        <v>48</v>
      </c>
      <c r="D39" s="22">
        <v>5</v>
      </c>
      <c r="E39" s="22">
        <v>30</v>
      </c>
      <c r="F39" s="18" t="s">
        <v>42</v>
      </c>
      <c r="G39" s="18" t="s">
        <v>34</v>
      </c>
      <c r="H39" s="18" t="s">
        <v>4</v>
      </c>
      <c r="I39" s="18">
        <v>0.51500000000000001</v>
      </c>
      <c r="J39" s="18">
        <v>0.67500000000000004</v>
      </c>
      <c r="K39" s="18">
        <v>5.86</v>
      </c>
      <c r="L39" s="18">
        <f>10.5261-6.0604</f>
        <v>4.4657</v>
      </c>
      <c r="M39" s="18">
        <v>0</v>
      </c>
      <c r="Q39" s="32">
        <v>195</v>
      </c>
      <c r="T39" s="18">
        <v>353</v>
      </c>
      <c r="U39" s="18">
        <v>49</v>
      </c>
      <c r="V39" s="25">
        <f t="shared" si="37"/>
        <v>0</v>
      </c>
      <c r="W39" s="25">
        <f t="shared" ref="W39:W46" si="43">O39/50*1000*10^3</f>
        <v>0</v>
      </c>
      <c r="X39" s="25"/>
      <c r="Y39" s="25">
        <f t="shared" si="39"/>
        <v>390000000</v>
      </c>
      <c r="Z39" s="25">
        <f t="shared" si="30"/>
        <v>0</v>
      </c>
      <c r="AA39" s="25">
        <f t="shared" si="40"/>
        <v>70600000</v>
      </c>
      <c r="AB39" s="25">
        <f t="shared" si="41"/>
        <v>98000000</v>
      </c>
      <c r="AC39" s="23">
        <f t="shared" ref="AC39:AC46" si="44">AA39/AVERAGE($X$38,$X$40,$X$42,$X$45,$X$46)</f>
        <v>1.0449970396684429</v>
      </c>
      <c r="AD39" s="33">
        <f t="shared" si="42"/>
        <v>0.77769092630908776</v>
      </c>
      <c r="AE39" s="18" t="s">
        <v>49</v>
      </c>
    </row>
    <row r="40" spans="1:31" x14ac:dyDescent="0.3">
      <c r="A40" s="21">
        <v>43609</v>
      </c>
      <c r="B40" s="18">
        <v>3</v>
      </c>
      <c r="C40" s="18" t="s">
        <v>48</v>
      </c>
      <c r="D40" s="22">
        <v>21</v>
      </c>
      <c r="E40" s="22">
        <v>8</v>
      </c>
      <c r="F40" s="18" t="s">
        <v>42</v>
      </c>
      <c r="G40" s="18" t="s">
        <v>34</v>
      </c>
      <c r="H40" s="18" t="s">
        <v>4</v>
      </c>
      <c r="I40" s="18">
        <v>0.51500000000000001</v>
      </c>
      <c r="J40" s="18">
        <v>2.6579999999999999</v>
      </c>
      <c r="K40" s="18">
        <v>6.04</v>
      </c>
      <c r="L40" s="18">
        <f>9.9225-6.1505</f>
        <v>3.7719999999999994</v>
      </c>
      <c r="M40" s="18">
        <v>0</v>
      </c>
      <c r="P40" s="18">
        <v>331</v>
      </c>
      <c r="Q40" s="18">
        <v>50</v>
      </c>
      <c r="T40" s="18">
        <v>373</v>
      </c>
      <c r="U40" s="18">
        <v>63</v>
      </c>
      <c r="V40" s="25">
        <f t="shared" si="37"/>
        <v>0</v>
      </c>
      <c r="W40" s="25">
        <f t="shared" si="43"/>
        <v>0</v>
      </c>
      <c r="X40" s="25">
        <f t="shared" si="38"/>
        <v>66200000</v>
      </c>
      <c r="Y40" s="25">
        <f t="shared" si="39"/>
        <v>100000000</v>
      </c>
      <c r="Z40" s="25">
        <f t="shared" si="30"/>
        <v>0</v>
      </c>
      <c r="AA40" s="25">
        <f t="shared" si="40"/>
        <v>74600000</v>
      </c>
      <c r="AB40" s="25">
        <f t="shared" si="41"/>
        <v>126000000</v>
      </c>
      <c r="AC40" s="23">
        <f t="shared" si="44"/>
        <v>1.1042036708111309</v>
      </c>
      <c r="AD40" s="33">
        <f t="shared" si="42"/>
        <v>0.67341684445810235</v>
      </c>
      <c r="AE40" s="18" t="s">
        <v>49</v>
      </c>
    </row>
    <row r="41" spans="1:31" x14ac:dyDescent="0.3">
      <c r="A41" s="21">
        <v>43609</v>
      </c>
      <c r="B41" s="18">
        <v>4</v>
      </c>
      <c r="C41" s="18" t="s">
        <v>48</v>
      </c>
      <c r="D41" s="22">
        <v>47</v>
      </c>
      <c r="E41" s="22">
        <v>8</v>
      </c>
      <c r="F41" s="18" t="s">
        <v>42</v>
      </c>
      <c r="G41" s="18" t="s">
        <v>34</v>
      </c>
      <c r="H41" s="18" t="s">
        <v>4</v>
      </c>
      <c r="I41" s="18">
        <v>0.51500000000000001</v>
      </c>
      <c r="J41" s="18">
        <f>9.07</f>
        <v>9.07</v>
      </c>
      <c r="K41" s="18">
        <v>9.0399999999999991</v>
      </c>
      <c r="L41" s="18">
        <f>9.861-6.1455</f>
        <v>3.7155000000000005</v>
      </c>
      <c r="M41" s="18">
        <v>0.13500000000000001</v>
      </c>
      <c r="P41" s="18">
        <v>251</v>
      </c>
      <c r="Q41" s="18">
        <v>36</v>
      </c>
      <c r="T41" s="18">
        <v>103</v>
      </c>
      <c r="U41" s="18">
        <v>11</v>
      </c>
      <c r="V41" s="25">
        <f t="shared" ref="V41:V43" si="45">N41/50*1000*10^2</f>
        <v>0</v>
      </c>
      <c r="W41" s="25">
        <f t="shared" ref="W41:W43" si="46">O41/50*1000*10^3</f>
        <v>0</v>
      </c>
      <c r="X41" s="25">
        <f t="shared" ref="X41:X43" si="47">P41/50*1000*10^4</f>
        <v>50200000</v>
      </c>
      <c r="Y41" s="25">
        <f t="shared" ref="Y41:Y43" si="48">Q41/50*1000*10^5</f>
        <v>72000000</v>
      </c>
      <c r="Z41" s="25">
        <f t="shared" ref="Z41:Z43" si="49">S41/50*1000*10^3</f>
        <v>0</v>
      </c>
      <c r="AA41" s="25">
        <f t="shared" ref="AA41:AA43" si="50">T41/50*1000*10^4</f>
        <v>20600000</v>
      </c>
      <c r="AB41" s="25">
        <f t="shared" ref="AB41:AB42" si="51">U41/50*1000*10^5</f>
        <v>22000000</v>
      </c>
      <c r="AC41" s="23">
        <f>AA41/AVERAGE($X$41,$X$43)</f>
        <v>0.38941398865784499</v>
      </c>
      <c r="AD41" s="33">
        <f t="shared" si="42"/>
        <v>0.15630052143016965</v>
      </c>
      <c r="AE41" s="18" t="s">
        <v>52</v>
      </c>
    </row>
    <row r="42" spans="1:31" x14ac:dyDescent="0.3">
      <c r="A42" s="21">
        <v>43609</v>
      </c>
      <c r="B42" s="18">
        <v>5</v>
      </c>
      <c r="C42" s="18" t="s">
        <v>48</v>
      </c>
      <c r="D42" s="22">
        <v>21</v>
      </c>
      <c r="E42" s="22">
        <v>30</v>
      </c>
      <c r="F42" s="31" t="s">
        <v>42</v>
      </c>
      <c r="G42" s="31" t="s">
        <v>34</v>
      </c>
      <c r="H42" s="31" t="s">
        <v>4</v>
      </c>
      <c r="I42" s="18">
        <v>0.51500000000000001</v>
      </c>
      <c r="J42" s="18">
        <v>2.6579999999999999</v>
      </c>
      <c r="K42" s="18">
        <v>6.04</v>
      </c>
      <c r="L42" s="18">
        <f>10.0211-6.028</f>
        <v>3.993100000000001</v>
      </c>
      <c r="M42" s="18">
        <v>0</v>
      </c>
      <c r="P42" s="18">
        <v>352</v>
      </c>
      <c r="Q42" s="18">
        <v>34</v>
      </c>
      <c r="T42" s="18">
        <v>276</v>
      </c>
      <c r="U42" s="18">
        <v>34</v>
      </c>
      <c r="V42" s="25">
        <f t="shared" si="45"/>
        <v>0</v>
      </c>
      <c r="W42" s="25">
        <f t="shared" si="46"/>
        <v>0</v>
      </c>
      <c r="X42" s="25">
        <f t="shared" si="47"/>
        <v>70400000</v>
      </c>
      <c r="Y42" s="25">
        <f t="shared" si="48"/>
        <v>68000000</v>
      </c>
      <c r="Z42" s="25">
        <f t="shared" si="49"/>
        <v>0</v>
      </c>
      <c r="AA42" s="25">
        <f t="shared" si="50"/>
        <v>55200000</v>
      </c>
      <c r="AB42" s="25">
        <f t="shared" si="51"/>
        <v>68000000</v>
      </c>
      <c r="AC42" s="23">
        <f t="shared" si="44"/>
        <v>0.81705150976909413</v>
      </c>
      <c r="AD42" s="33">
        <f t="shared" si="42"/>
        <v>0.52750032072300723</v>
      </c>
      <c r="AE42" s="18" t="s">
        <v>50</v>
      </c>
    </row>
    <row r="43" spans="1:31" x14ac:dyDescent="0.3">
      <c r="A43" s="21">
        <v>43609</v>
      </c>
      <c r="B43" s="18">
        <v>6</v>
      </c>
      <c r="C43" s="18" t="s">
        <v>48</v>
      </c>
      <c r="D43" s="22">
        <v>47</v>
      </c>
      <c r="E43" s="22">
        <v>4</v>
      </c>
      <c r="F43" s="18" t="s">
        <v>42</v>
      </c>
      <c r="G43" s="18" t="s">
        <v>34</v>
      </c>
      <c r="H43" s="18" t="s">
        <v>4</v>
      </c>
      <c r="I43" s="18">
        <v>0.51500000000000001</v>
      </c>
      <c r="J43" s="18">
        <f>9.07</f>
        <v>9.07</v>
      </c>
      <c r="K43" s="18">
        <v>9.0399999999999991</v>
      </c>
      <c r="L43" s="18">
        <f>9.986-6.1772</f>
        <v>3.8088000000000006</v>
      </c>
      <c r="M43" s="18">
        <v>0.22</v>
      </c>
      <c r="P43" s="18">
        <v>278</v>
      </c>
      <c r="Q43" s="18">
        <v>21</v>
      </c>
      <c r="S43" s="18">
        <v>428</v>
      </c>
      <c r="T43" s="18">
        <v>57</v>
      </c>
      <c r="U43" s="34">
        <v>4</v>
      </c>
      <c r="V43" s="25">
        <f t="shared" si="45"/>
        <v>0</v>
      </c>
      <c r="W43" s="25">
        <f t="shared" si="46"/>
        <v>0</v>
      </c>
      <c r="X43" s="25">
        <f t="shared" si="47"/>
        <v>55600000</v>
      </c>
      <c r="Y43" s="25">
        <f t="shared" si="48"/>
        <v>42000000</v>
      </c>
      <c r="Z43" s="25">
        <f t="shared" si="49"/>
        <v>8560000</v>
      </c>
      <c r="AA43" s="25">
        <f t="shared" si="50"/>
        <v>11400000</v>
      </c>
      <c r="AB43" s="25">
        <f>U43/50*1000*10^5</f>
        <v>8000000</v>
      </c>
      <c r="AC43" s="23">
        <f>AA43/AVERAGE($X$41,$X$43)</f>
        <v>0.21550094517958412</v>
      </c>
      <c r="AD43" s="33">
        <f>AC43*L43/1.024/K43</f>
        <v>8.8668418141592945E-2</v>
      </c>
      <c r="AE43" s="18" t="s">
        <v>52</v>
      </c>
    </row>
    <row r="44" spans="1:31" x14ac:dyDescent="0.3">
      <c r="A44" s="21">
        <v>43609</v>
      </c>
      <c r="B44" s="18">
        <v>7</v>
      </c>
      <c r="C44" s="18" t="s">
        <v>48</v>
      </c>
      <c r="D44" s="30">
        <v>5</v>
      </c>
      <c r="E44" s="30">
        <v>8</v>
      </c>
      <c r="F44" s="18" t="s">
        <v>42</v>
      </c>
      <c r="G44" s="18" t="s">
        <v>34</v>
      </c>
      <c r="H44" s="18" t="s">
        <v>4</v>
      </c>
      <c r="I44" s="18">
        <v>0.51500000000000001</v>
      </c>
      <c r="J44" s="18">
        <v>0.67500000000000004</v>
      </c>
      <c r="K44" s="18">
        <v>5.86</v>
      </c>
      <c r="L44" s="18">
        <f>10.6629-6.0182</f>
        <v>4.6447000000000003</v>
      </c>
      <c r="M44" s="18">
        <v>0</v>
      </c>
      <c r="T44" s="18">
        <v>320</v>
      </c>
      <c r="U44" s="18">
        <v>47</v>
      </c>
      <c r="V44" s="25">
        <f t="shared" si="37"/>
        <v>0</v>
      </c>
      <c r="W44" s="25">
        <f t="shared" si="43"/>
        <v>0</v>
      </c>
      <c r="X44" s="25"/>
      <c r="Y44" s="25">
        <f t="shared" si="39"/>
        <v>0</v>
      </c>
      <c r="Z44" s="25">
        <f t="shared" si="30"/>
        <v>0</v>
      </c>
      <c r="AA44" s="25">
        <f t="shared" si="40"/>
        <v>64000000</v>
      </c>
      <c r="AB44" s="25">
        <f t="shared" si="41"/>
        <v>94000000</v>
      </c>
      <c r="AC44" s="23">
        <f t="shared" si="44"/>
        <v>0.94730609828300771</v>
      </c>
      <c r="AD44" s="33">
        <f t="shared" si="42"/>
        <v>0.73324722607839932</v>
      </c>
      <c r="AE44" s="18" t="s">
        <v>49</v>
      </c>
    </row>
    <row r="45" spans="1:31" x14ac:dyDescent="0.3">
      <c r="A45" s="21">
        <v>43609</v>
      </c>
      <c r="B45" s="18">
        <v>8</v>
      </c>
      <c r="C45" s="18" t="s">
        <v>48</v>
      </c>
      <c r="D45" s="22">
        <v>21</v>
      </c>
      <c r="E45" s="22">
        <v>4</v>
      </c>
      <c r="F45" s="18" t="s">
        <v>42</v>
      </c>
      <c r="G45" s="18" t="s">
        <v>34</v>
      </c>
      <c r="H45" s="18" t="s">
        <v>4</v>
      </c>
      <c r="I45" s="18">
        <v>0.51500000000000001</v>
      </c>
      <c r="J45" s="18">
        <v>2.6579999999999999</v>
      </c>
      <c r="K45" s="18">
        <v>6.04</v>
      </c>
      <c r="L45" s="18">
        <f>9.9654-6.0586</f>
        <v>3.9068000000000005</v>
      </c>
      <c r="M45" s="18">
        <v>5.0000000000000001E-3</v>
      </c>
      <c r="P45" s="18">
        <v>333</v>
      </c>
      <c r="Q45" s="18">
        <v>57</v>
      </c>
      <c r="T45" s="18">
        <v>409</v>
      </c>
      <c r="U45" s="18">
        <v>50</v>
      </c>
      <c r="V45" s="25">
        <f t="shared" si="37"/>
        <v>0</v>
      </c>
      <c r="W45" s="25">
        <f t="shared" si="43"/>
        <v>0</v>
      </c>
      <c r="X45" s="25">
        <f t="shared" si="38"/>
        <v>66600000</v>
      </c>
      <c r="Y45" s="25">
        <f t="shared" si="39"/>
        <v>114000000</v>
      </c>
      <c r="Z45" s="25">
        <f t="shared" si="30"/>
        <v>0</v>
      </c>
      <c r="AA45" s="25">
        <f t="shared" si="40"/>
        <v>81800000</v>
      </c>
      <c r="AB45" s="25">
        <f t="shared" si="41"/>
        <v>100000000</v>
      </c>
      <c r="AC45" s="23">
        <f t="shared" si="44"/>
        <v>1.2107756068679691</v>
      </c>
      <c r="AD45" s="33">
        <f t="shared" si="42"/>
        <v>0.76480011849903362</v>
      </c>
      <c r="AE45" s="18" t="s">
        <v>49</v>
      </c>
    </row>
    <row r="46" spans="1:31" x14ac:dyDescent="0.3">
      <c r="A46" s="21">
        <v>43609</v>
      </c>
      <c r="B46" s="18">
        <v>9</v>
      </c>
      <c r="C46" s="18" t="s">
        <v>48</v>
      </c>
      <c r="D46" s="22">
        <v>5</v>
      </c>
      <c r="E46" s="22">
        <v>4</v>
      </c>
      <c r="F46" s="18" t="s">
        <v>42</v>
      </c>
      <c r="G46" s="18" t="s">
        <v>34</v>
      </c>
      <c r="H46" s="18" t="s">
        <v>4</v>
      </c>
      <c r="I46" s="18">
        <v>0.51500000000000001</v>
      </c>
      <c r="J46" s="18">
        <v>0.67500000000000004</v>
      </c>
      <c r="K46" s="18">
        <v>5.86</v>
      </c>
      <c r="L46" s="18">
        <f>10.7972-6.1019</f>
        <v>4.6953000000000005</v>
      </c>
      <c r="M46" s="18">
        <v>0</v>
      </c>
      <c r="P46" s="18">
        <v>316</v>
      </c>
      <c r="Q46" s="18">
        <v>10</v>
      </c>
      <c r="T46" s="18">
        <v>313</v>
      </c>
      <c r="U46" s="18">
        <v>40</v>
      </c>
      <c r="V46" s="25">
        <f t="shared" si="37"/>
        <v>0</v>
      </c>
      <c r="W46" s="25">
        <f t="shared" si="43"/>
        <v>0</v>
      </c>
      <c r="X46" s="25">
        <f t="shared" si="38"/>
        <v>63200000</v>
      </c>
      <c r="Y46" s="25">
        <f t="shared" si="39"/>
        <v>20000000</v>
      </c>
      <c r="Z46" s="25">
        <f t="shared" si="30"/>
        <v>0</v>
      </c>
      <c r="AA46" s="25">
        <f t="shared" si="40"/>
        <v>62600000</v>
      </c>
      <c r="AB46" s="25">
        <f t="shared" si="41"/>
        <v>80000000</v>
      </c>
      <c r="AC46" s="23">
        <f t="shared" si="44"/>
        <v>0.92658377738306685</v>
      </c>
      <c r="AD46" s="33">
        <f t="shared" si="42"/>
        <v>0.72502079943917874</v>
      </c>
      <c r="AE46" s="18" t="s">
        <v>49</v>
      </c>
    </row>
    <row r="47" spans="1:31" x14ac:dyDescent="0.3">
      <c r="A47" s="21">
        <v>43616</v>
      </c>
      <c r="B47" s="18">
        <v>1</v>
      </c>
      <c r="C47" s="18" t="s">
        <v>11</v>
      </c>
      <c r="D47" s="22">
        <v>47</v>
      </c>
      <c r="E47" s="22">
        <v>8</v>
      </c>
      <c r="F47" s="18" t="s">
        <v>42</v>
      </c>
      <c r="G47" s="18" t="s">
        <v>34</v>
      </c>
      <c r="H47" s="18" t="s">
        <v>11</v>
      </c>
      <c r="I47" s="18">
        <v>0.45500000000000002</v>
      </c>
      <c r="J47" s="18">
        <v>10.266</v>
      </c>
      <c r="K47" s="18">
        <v>9.0399999999999991</v>
      </c>
      <c r="L47" s="18">
        <f>9.5606-6.1472</f>
        <v>3.4134000000000011</v>
      </c>
      <c r="M47" s="18">
        <v>0.12</v>
      </c>
      <c r="P47" s="18">
        <v>215</v>
      </c>
      <c r="Q47" s="18">
        <v>29</v>
      </c>
      <c r="T47" s="18">
        <v>192</v>
      </c>
      <c r="U47" s="18">
        <v>28</v>
      </c>
      <c r="V47" s="25">
        <f t="shared" ref="V47:V55" si="52">N47/50*1000*10^2</f>
        <v>0</v>
      </c>
      <c r="W47" s="25">
        <f t="shared" ref="W47:W55" si="53">O47/50*1000*10^3</f>
        <v>0</v>
      </c>
      <c r="X47" s="25">
        <f t="shared" ref="X47:X54" si="54">P47/50*1000*10^4</f>
        <v>43000000</v>
      </c>
      <c r="Y47" s="25">
        <f t="shared" ref="Y47:Y55" si="55">Q47/50*1000*10^5</f>
        <v>58000000</v>
      </c>
      <c r="Z47" s="25">
        <f t="shared" ref="Z47:Z55" si="56">S47/50*1000*10^3</f>
        <v>0</v>
      </c>
      <c r="AA47" s="25">
        <f t="shared" ref="AA47:AA55" si="57">T47/50*1000*10^4</f>
        <v>38400000</v>
      </c>
      <c r="AB47" s="25">
        <f t="shared" ref="AB47:AB55" si="58">U47/50*1000*10^5</f>
        <v>56000000</v>
      </c>
      <c r="AC47" s="23">
        <f t="shared" ref="AC47:AC50" si="59">AA47/AVERAGE($X$47:$X$51,$X$54)</f>
        <v>0.76240900066181339</v>
      </c>
      <c r="AD47" s="23">
        <f>AC47*L47/1.024/K47</f>
        <v>0.28112975348916214</v>
      </c>
      <c r="AE47" s="18" t="s">
        <v>49</v>
      </c>
    </row>
    <row r="48" spans="1:31" x14ac:dyDescent="0.3">
      <c r="A48" s="21">
        <v>43616</v>
      </c>
      <c r="B48" s="18">
        <v>2</v>
      </c>
      <c r="C48" s="18" t="s">
        <v>11</v>
      </c>
      <c r="D48" s="22">
        <v>5</v>
      </c>
      <c r="E48" s="22">
        <v>30</v>
      </c>
      <c r="F48" s="18" t="s">
        <v>42</v>
      </c>
      <c r="G48" s="18" t="s">
        <v>34</v>
      </c>
      <c r="H48" s="18" t="s">
        <v>11</v>
      </c>
      <c r="I48" s="18">
        <v>0.45500000000000002</v>
      </c>
      <c r="J48" s="18">
        <v>0.76400000000000001</v>
      </c>
      <c r="K48" s="18">
        <v>5.86</v>
      </c>
      <c r="L48" s="18">
        <f>10.6971-6.168</f>
        <v>4.5291000000000006</v>
      </c>
      <c r="M48" s="18">
        <v>0</v>
      </c>
      <c r="P48" s="18">
        <v>274</v>
      </c>
      <c r="Q48" s="18">
        <v>36</v>
      </c>
      <c r="T48" s="18">
        <v>181</v>
      </c>
      <c r="U48" s="18">
        <v>28</v>
      </c>
      <c r="V48" s="25">
        <f t="shared" si="52"/>
        <v>0</v>
      </c>
      <c r="W48" s="25">
        <f t="shared" si="53"/>
        <v>0</v>
      </c>
      <c r="X48" s="25">
        <f t="shared" si="54"/>
        <v>54800000</v>
      </c>
      <c r="Y48" s="25">
        <f t="shared" si="55"/>
        <v>72000000</v>
      </c>
      <c r="Z48" s="25">
        <f t="shared" si="56"/>
        <v>0</v>
      </c>
      <c r="AA48" s="25">
        <f t="shared" si="57"/>
        <v>36200000</v>
      </c>
      <c r="AB48" s="25">
        <f t="shared" si="58"/>
        <v>56000000</v>
      </c>
      <c r="AC48" s="23">
        <f t="shared" si="59"/>
        <v>0.7187293183322303</v>
      </c>
      <c r="AD48" s="23">
        <f t="shared" si="42"/>
        <v>0.54247496194714306</v>
      </c>
      <c r="AE48" s="18" t="s">
        <v>49</v>
      </c>
    </row>
    <row r="49" spans="1:31" x14ac:dyDescent="0.3">
      <c r="A49" s="21">
        <v>43616</v>
      </c>
      <c r="B49" s="18">
        <v>3</v>
      </c>
      <c r="C49" s="18" t="s">
        <v>11</v>
      </c>
      <c r="D49" s="22">
        <v>21</v>
      </c>
      <c r="E49" s="22">
        <v>8</v>
      </c>
      <c r="F49" s="18" t="s">
        <v>42</v>
      </c>
      <c r="G49" s="18" t="s">
        <v>34</v>
      </c>
      <c r="H49" s="18" t="s">
        <v>11</v>
      </c>
      <c r="I49" s="18">
        <v>0.45500000000000002</v>
      </c>
      <c r="J49" s="18">
        <v>3.008</v>
      </c>
      <c r="K49" s="18">
        <v>6.04</v>
      </c>
      <c r="L49" s="18">
        <f>10.0143-6.2795</f>
        <v>3.7348000000000008</v>
      </c>
      <c r="M49" s="18">
        <v>3.0000000000000001E-3</v>
      </c>
      <c r="P49" s="18">
        <v>284</v>
      </c>
      <c r="Q49" s="18">
        <v>29</v>
      </c>
      <c r="T49" s="18">
        <v>264</v>
      </c>
      <c r="U49" s="18">
        <v>25</v>
      </c>
      <c r="V49" s="25">
        <f t="shared" si="52"/>
        <v>0</v>
      </c>
      <c r="W49" s="25">
        <f t="shared" si="53"/>
        <v>0</v>
      </c>
      <c r="X49" s="25">
        <f t="shared" si="54"/>
        <v>56800000</v>
      </c>
      <c r="Y49" s="25">
        <f t="shared" si="55"/>
        <v>58000000</v>
      </c>
      <c r="Z49" s="25">
        <f t="shared" si="56"/>
        <v>0</v>
      </c>
      <c r="AA49" s="25">
        <f t="shared" si="57"/>
        <v>52800000</v>
      </c>
      <c r="AB49" s="25">
        <f t="shared" si="58"/>
        <v>50000000</v>
      </c>
      <c r="AC49" s="23">
        <f t="shared" si="59"/>
        <v>1.0483123759099935</v>
      </c>
      <c r="AD49" s="23">
        <f t="shared" si="42"/>
        <v>0.63302544584745002</v>
      </c>
      <c r="AE49" s="18" t="s">
        <v>49</v>
      </c>
    </row>
    <row r="50" spans="1:31" x14ac:dyDescent="0.3">
      <c r="A50" s="21">
        <v>43616</v>
      </c>
      <c r="B50" s="18">
        <v>4</v>
      </c>
      <c r="C50" s="18" t="s">
        <v>11</v>
      </c>
      <c r="D50" s="30">
        <v>5</v>
      </c>
      <c r="E50" s="30">
        <v>8</v>
      </c>
      <c r="F50" s="18" t="s">
        <v>42</v>
      </c>
      <c r="G50" s="18" t="s">
        <v>34</v>
      </c>
      <c r="H50" s="18" t="s">
        <v>11</v>
      </c>
      <c r="I50" s="18">
        <v>0.45500000000000002</v>
      </c>
      <c r="J50" s="18">
        <v>0.76400000000000001</v>
      </c>
      <c r="K50" s="18">
        <v>5.86</v>
      </c>
      <c r="L50" s="18">
        <f>10.8704-6.2169</f>
        <v>4.6535000000000002</v>
      </c>
      <c r="M50" s="18">
        <v>1E-3</v>
      </c>
      <c r="P50" s="18">
        <v>310</v>
      </c>
      <c r="Q50" s="18">
        <v>33</v>
      </c>
      <c r="T50" s="18">
        <v>204</v>
      </c>
      <c r="U50" s="18">
        <v>27</v>
      </c>
      <c r="V50" s="25">
        <f t="shared" si="52"/>
        <v>0</v>
      </c>
      <c r="W50" s="25">
        <f t="shared" si="53"/>
        <v>0</v>
      </c>
      <c r="X50" s="25">
        <f t="shared" si="54"/>
        <v>62000000</v>
      </c>
      <c r="Y50" s="25">
        <f t="shared" si="55"/>
        <v>66000000</v>
      </c>
      <c r="Z50" s="25">
        <f t="shared" si="56"/>
        <v>0</v>
      </c>
      <c r="AA50" s="25">
        <f t="shared" si="57"/>
        <v>40800000</v>
      </c>
      <c r="AB50" s="25">
        <f t="shared" si="58"/>
        <v>54000000</v>
      </c>
      <c r="AC50" s="23">
        <f t="shared" si="59"/>
        <v>0.81005956320317674</v>
      </c>
      <c r="AD50" s="23">
        <f t="shared" si="42"/>
        <v>0.62820168804760534</v>
      </c>
      <c r="AE50" s="18" t="s">
        <v>49</v>
      </c>
    </row>
    <row r="51" spans="1:31" x14ac:dyDescent="0.3">
      <c r="A51" s="21">
        <v>43616</v>
      </c>
      <c r="B51" s="18">
        <v>5</v>
      </c>
      <c r="C51" s="18" t="s">
        <v>11</v>
      </c>
      <c r="D51" s="22">
        <v>47</v>
      </c>
      <c r="E51" s="22">
        <v>30</v>
      </c>
      <c r="F51" s="18" t="s">
        <v>42</v>
      </c>
      <c r="G51" s="18" t="s">
        <v>34</v>
      </c>
      <c r="H51" s="18" t="s">
        <v>11</v>
      </c>
      <c r="I51" s="18">
        <v>0.45500000000000002</v>
      </c>
      <c r="J51" s="18">
        <v>10.266</v>
      </c>
      <c r="K51" s="18">
        <v>9.0399999999999991</v>
      </c>
      <c r="L51" s="18">
        <f>9.8329-6.1753</f>
        <v>3.6576000000000004</v>
      </c>
      <c r="M51" s="18">
        <v>1.4999999999999999E-2</v>
      </c>
      <c r="P51" s="18">
        <v>223</v>
      </c>
      <c r="Q51" s="18">
        <v>42</v>
      </c>
      <c r="T51" s="18">
        <v>236</v>
      </c>
      <c r="U51" s="18">
        <v>16</v>
      </c>
      <c r="V51" s="25">
        <f t="shared" si="52"/>
        <v>0</v>
      </c>
      <c r="W51" s="25">
        <f t="shared" si="53"/>
        <v>0</v>
      </c>
      <c r="X51" s="25">
        <f t="shared" si="54"/>
        <v>44600000</v>
      </c>
      <c r="Y51" s="25">
        <f t="shared" si="55"/>
        <v>84000000</v>
      </c>
      <c r="Z51" s="25">
        <f t="shared" si="56"/>
        <v>0</v>
      </c>
      <c r="AA51" s="25">
        <f t="shared" si="57"/>
        <v>47200000</v>
      </c>
      <c r="AB51" s="25">
        <f t="shared" si="58"/>
        <v>32000000</v>
      </c>
      <c r="AC51" s="23">
        <f>AA51/AVERAGE($X$47:$X$51,$X$54)</f>
        <v>0.9371277299801456</v>
      </c>
      <c r="AD51" s="23">
        <f>AC51*L51/1.024/K51</f>
        <v>0.37027689275695058</v>
      </c>
      <c r="AE51" s="18" t="s">
        <v>49</v>
      </c>
    </row>
    <row r="52" spans="1:31" x14ac:dyDescent="0.3">
      <c r="A52" s="21">
        <v>43616</v>
      </c>
      <c r="B52" s="18">
        <v>6</v>
      </c>
      <c r="C52" s="18" t="s">
        <v>11</v>
      </c>
      <c r="D52" s="22">
        <v>21</v>
      </c>
      <c r="E52" s="22">
        <v>4</v>
      </c>
      <c r="F52" s="18" t="s">
        <v>42</v>
      </c>
      <c r="G52" s="18" t="s">
        <v>34</v>
      </c>
      <c r="H52" s="18" t="s">
        <v>11</v>
      </c>
      <c r="I52" s="18">
        <v>0.45500000000000002</v>
      </c>
      <c r="J52" s="18">
        <v>3.008</v>
      </c>
      <c r="K52" s="18">
        <v>6.04</v>
      </c>
      <c r="L52" s="18">
        <f>9.8706-6.1312</f>
        <v>3.7393999999999998</v>
      </c>
      <c r="M52" s="18">
        <v>0.01</v>
      </c>
      <c r="P52" s="18">
        <v>309</v>
      </c>
      <c r="Q52" s="18">
        <v>34</v>
      </c>
      <c r="T52" s="32">
        <v>189</v>
      </c>
      <c r="U52" s="18">
        <v>21</v>
      </c>
      <c r="V52" s="25">
        <f t="shared" ref="V52:V53" si="60">N52/50*1000*10^2</f>
        <v>0</v>
      </c>
      <c r="W52" s="25">
        <f t="shared" ref="W52:W53" si="61">O52/50*1000*10^3</f>
        <v>0</v>
      </c>
      <c r="X52" s="25">
        <f t="shared" ref="X52:X53" si="62">P52/50*1000*10^4</f>
        <v>61800000</v>
      </c>
      <c r="Y52" s="25">
        <f t="shared" ref="Y52:Y53" si="63">Q52/50*1000*10^5</f>
        <v>68000000</v>
      </c>
      <c r="Z52" s="25">
        <f t="shared" ref="Z52:Z53" si="64">S52/50*1000*10^3</f>
        <v>0</v>
      </c>
      <c r="AA52" s="25">
        <f t="shared" ref="AA52:AA53" si="65">T52/50*1000*10^4</f>
        <v>37800000</v>
      </c>
      <c r="AB52" s="25">
        <f t="shared" ref="AB52:AB53" si="66">U52/50*1000*10^5</f>
        <v>42000000</v>
      </c>
      <c r="AC52" s="23">
        <f>AA52/AVERAGE(X52:X53)</f>
        <v>0.63636363636363635</v>
      </c>
      <c r="AD52" s="23">
        <f t="shared" ref="AD52:AD53" si="67">AC52*L52/1.024/K52</f>
        <v>0.3847426954771222</v>
      </c>
      <c r="AE52" s="18" t="s">
        <v>52</v>
      </c>
    </row>
    <row r="53" spans="1:31" x14ac:dyDescent="0.3">
      <c r="A53" s="21">
        <v>43616</v>
      </c>
      <c r="B53" s="18">
        <v>7</v>
      </c>
      <c r="C53" s="18" t="s">
        <v>11</v>
      </c>
      <c r="D53" s="22">
        <v>47</v>
      </c>
      <c r="E53" s="22">
        <v>4</v>
      </c>
      <c r="F53" s="18" t="s">
        <v>42</v>
      </c>
      <c r="G53" s="18" t="s">
        <v>34</v>
      </c>
      <c r="H53" s="18" t="s">
        <v>11</v>
      </c>
      <c r="I53" s="18">
        <v>0.45500000000000002</v>
      </c>
      <c r="J53" s="18">
        <v>10.266</v>
      </c>
      <c r="K53" s="18">
        <v>9.0399999999999991</v>
      </c>
      <c r="L53" s="18">
        <f>9.9312-6.205</f>
        <v>3.7262000000000004</v>
      </c>
      <c r="M53" s="18">
        <v>0.18</v>
      </c>
      <c r="P53" s="18">
        <v>285</v>
      </c>
      <c r="Q53" s="18">
        <v>41</v>
      </c>
      <c r="T53" s="32">
        <v>235</v>
      </c>
      <c r="U53" s="18">
        <v>19</v>
      </c>
      <c r="V53" s="25">
        <f t="shared" si="60"/>
        <v>0</v>
      </c>
      <c r="W53" s="25">
        <f t="shared" si="61"/>
        <v>0</v>
      </c>
      <c r="X53" s="25">
        <f t="shared" si="62"/>
        <v>57000000</v>
      </c>
      <c r="Y53" s="25">
        <f t="shared" si="63"/>
        <v>82000000</v>
      </c>
      <c r="Z53" s="25">
        <f t="shared" si="64"/>
        <v>0</v>
      </c>
      <c r="AA53" s="25">
        <f t="shared" si="65"/>
        <v>47000000</v>
      </c>
      <c r="AB53" s="25">
        <f t="shared" si="66"/>
        <v>38000000</v>
      </c>
      <c r="AC53" s="23">
        <f>AA53/AVERAGE(X53:X59)</f>
        <v>0.95918367346938771</v>
      </c>
      <c r="AD53" s="23">
        <f t="shared" si="67"/>
        <v>0.38609977833777326</v>
      </c>
      <c r="AE53" s="18" t="s">
        <v>52</v>
      </c>
    </row>
    <row r="54" spans="1:31" x14ac:dyDescent="0.3">
      <c r="A54" s="21">
        <v>43616</v>
      </c>
      <c r="B54" s="18">
        <v>8</v>
      </c>
      <c r="C54" s="18" t="s">
        <v>11</v>
      </c>
      <c r="D54" s="22">
        <v>5</v>
      </c>
      <c r="E54" s="22">
        <v>4</v>
      </c>
      <c r="F54" s="31" t="s">
        <v>42</v>
      </c>
      <c r="G54" s="31" t="s">
        <v>34</v>
      </c>
      <c r="H54" s="18" t="s">
        <v>11</v>
      </c>
      <c r="I54" s="18">
        <v>0.45500000000000002</v>
      </c>
      <c r="J54" s="18">
        <v>0.76400000000000001</v>
      </c>
      <c r="K54" s="18">
        <v>5.86</v>
      </c>
      <c r="L54" s="18">
        <f>10.9422-6.3428</f>
        <v>4.5993999999999993</v>
      </c>
      <c r="M54" s="18">
        <v>0</v>
      </c>
      <c r="P54" s="18">
        <v>205</v>
      </c>
      <c r="Q54" s="18">
        <v>31</v>
      </c>
      <c r="T54" s="18">
        <v>180</v>
      </c>
      <c r="U54" s="18">
        <v>31</v>
      </c>
      <c r="V54" s="25">
        <f t="shared" si="52"/>
        <v>0</v>
      </c>
      <c r="W54" s="25">
        <f t="shared" si="53"/>
        <v>0</v>
      </c>
      <c r="X54" s="25">
        <f t="shared" si="54"/>
        <v>41000000</v>
      </c>
      <c r="Y54" s="25">
        <f t="shared" si="55"/>
        <v>62000000</v>
      </c>
      <c r="Z54" s="25">
        <f t="shared" si="56"/>
        <v>0</v>
      </c>
      <c r="AA54" s="25">
        <f t="shared" si="57"/>
        <v>36000000</v>
      </c>
      <c r="AB54" s="25">
        <f t="shared" si="58"/>
        <v>62000000</v>
      </c>
      <c r="AC54" s="23">
        <f>AA54/AVERAGE($X$47:$X$51,$X$54)</f>
        <v>0.71475843812045003</v>
      </c>
      <c r="AD54" s="23">
        <f t="shared" si="42"/>
        <v>0.54785155588257206</v>
      </c>
      <c r="AE54" s="18" t="s">
        <v>49</v>
      </c>
    </row>
    <row r="55" spans="1:31" x14ac:dyDescent="0.3">
      <c r="A55" s="21">
        <v>43616</v>
      </c>
      <c r="B55" s="18">
        <v>9</v>
      </c>
      <c r="C55" s="18" t="s">
        <v>11</v>
      </c>
      <c r="D55" s="22">
        <v>21</v>
      </c>
      <c r="E55" s="22">
        <v>30</v>
      </c>
      <c r="F55" s="18" t="s">
        <v>42</v>
      </c>
      <c r="G55" s="18" t="s">
        <v>34</v>
      </c>
      <c r="H55" s="18" t="s">
        <v>11</v>
      </c>
      <c r="I55" s="18">
        <v>0.45500000000000002</v>
      </c>
      <c r="J55" s="18">
        <v>3.008</v>
      </c>
      <c r="K55" s="18">
        <v>6.04</v>
      </c>
      <c r="L55" s="18">
        <f>9.8491-6.0385</f>
        <v>3.8106</v>
      </c>
      <c r="M55" s="18">
        <v>0</v>
      </c>
      <c r="T55" s="18">
        <v>171</v>
      </c>
      <c r="U55" s="18">
        <v>23</v>
      </c>
      <c r="V55" s="25">
        <f t="shared" si="52"/>
        <v>0</v>
      </c>
      <c r="W55" s="25">
        <f t="shared" si="53"/>
        <v>0</v>
      </c>
      <c r="X55" s="25"/>
      <c r="Y55" s="25">
        <f t="shared" si="55"/>
        <v>0</v>
      </c>
      <c r="Z55" s="25">
        <f t="shared" si="56"/>
        <v>0</v>
      </c>
      <c r="AA55" s="25">
        <f t="shared" si="57"/>
        <v>34200000</v>
      </c>
      <c r="AB55" s="25">
        <f t="shared" si="58"/>
        <v>46000000</v>
      </c>
      <c r="AC55" s="23">
        <f t="shared" ref="AC55" si="68">AA55/AVERAGE($X$47:$X$51,$X$54)</f>
        <v>0.67902051621442761</v>
      </c>
      <c r="AD55" s="23">
        <f t="shared" si="42"/>
        <v>0.41834960599368426</v>
      </c>
      <c r="AE55" s="18" t="s">
        <v>49</v>
      </c>
    </row>
    <row r="60" spans="1:31" x14ac:dyDescent="0.3">
      <c r="T60" s="32"/>
    </row>
    <row r="61" spans="1:31" x14ac:dyDescent="0.3">
      <c r="T61" s="32"/>
    </row>
  </sheetData>
  <sortState xmlns:xlrd2="http://schemas.microsoft.com/office/spreadsheetml/2017/richdata2" ref="D47:K55">
    <sortCondition ref="K47:K55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Designs</vt:lpstr>
      <vt:lpstr>HCT_time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2019-06-06T17:04:03Z</dcterms:modified>
</cp:coreProperties>
</file>