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2110" windowHeight="11010" activeTab="1"/>
  </bookViews>
  <sheets>
    <sheet name="Main_page_wide" sheetId="1" r:id="rId1"/>
    <sheet name="Hematocrit" sheetId="3" r:id="rId2"/>
    <sheet name="Bad data" sheetId="2" r:id="rId3"/>
  </sheets>
  <calcPr calcId="152511"/>
</workbook>
</file>

<file path=xl/calcChain.xml><?xml version="1.0" encoding="utf-8"?>
<calcChain xmlns="http://schemas.openxmlformats.org/spreadsheetml/2006/main">
  <c r="P103" i="3" l="1"/>
  <c r="P104" i="3"/>
  <c r="P102" i="3"/>
  <c r="P100" i="3"/>
  <c r="P94" i="3"/>
  <c r="P95" i="3"/>
  <c r="P96" i="3"/>
  <c r="P97" i="3"/>
  <c r="P98" i="3"/>
  <c r="P99" i="3"/>
  <c r="P93" i="3"/>
  <c r="P87" i="3"/>
  <c r="P88" i="3"/>
  <c r="P89" i="3"/>
  <c r="P90" i="3"/>
  <c r="P86" i="3"/>
  <c r="J83" i="3" l="1"/>
  <c r="J84" i="3"/>
  <c r="J85" i="3"/>
  <c r="J82" i="3"/>
  <c r="J81" i="3"/>
  <c r="J80" i="3"/>
  <c r="J79" i="3"/>
  <c r="J78" i="3"/>
  <c r="J77" i="3"/>
  <c r="J76" i="3"/>
  <c r="J75" i="3"/>
  <c r="J74" i="3"/>
  <c r="K73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F40" i="3"/>
  <c r="J39" i="3"/>
  <c r="F39" i="3"/>
  <c r="J38" i="3"/>
  <c r="F38" i="3"/>
  <c r="J37" i="3"/>
  <c r="F37" i="3"/>
  <c r="J36" i="3"/>
  <c r="J35" i="3"/>
  <c r="J34" i="3"/>
  <c r="J33" i="3"/>
  <c r="J32" i="3"/>
  <c r="I32" i="3"/>
  <c r="J31" i="3"/>
  <c r="I31" i="3"/>
  <c r="J30" i="3"/>
  <c r="J29" i="3"/>
  <c r="J28" i="3"/>
  <c r="J27" i="3"/>
  <c r="J26" i="3"/>
  <c r="J25" i="3"/>
  <c r="J24" i="3"/>
  <c r="J23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8" i="3"/>
  <c r="K14" i="1" l="1"/>
  <c r="K15" i="1"/>
  <c r="I16" i="1"/>
  <c r="I17" i="1"/>
  <c r="I18" i="1"/>
  <c r="I19" i="1"/>
  <c r="I20" i="1"/>
  <c r="I21" i="1"/>
  <c r="N6" i="2"/>
  <c r="M6" i="2"/>
  <c r="L6" i="2"/>
  <c r="K6" i="2"/>
  <c r="J6" i="2"/>
  <c r="H6" i="2"/>
  <c r="E6" i="2"/>
  <c r="J5" i="2"/>
  <c r="H5" i="2"/>
  <c r="H4" i="2"/>
  <c r="E4" i="2"/>
  <c r="H3" i="2"/>
  <c r="N2" i="2"/>
  <c r="M2" i="2"/>
  <c r="L2" i="2"/>
  <c r="K2" i="2"/>
  <c r="H2" i="2"/>
  <c r="S32" i="1" l="1"/>
  <c r="S31" i="1"/>
  <c r="S20" i="1"/>
  <c r="S19" i="1"/>
  <c r="S21" i="1" l="1"/>
  <c r="S33" i="1"/>
  <c r="I8" i="1"/>
  <c r="G8" i="1"/>
  <c r="I10" i="1"/>
  <c r="I11" i="1"/>
  <c r="I12" i="1"/>
  <c r="I13" i="1"/>
  <c r="I14" i="1"/>
  <c r="I15" i="1"/>
  <c r="I9" i="1"/>
</calcChain>
</file>

<file path=xl/comments1.xml><?xml version="1.0" encoding="utf-8"?>
<comments xmlns="http://schemas.openxmlformats.org/spreadsheetml/2006/main">
  <authors>
    <author>Author</author>
  </authors>
  <commentList>
    <comment ref="I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N9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raw weights are written in my lab book for this day. This value is "g Disk" - 62.9855g</t>
        </r>
      </text>
    </comment>
    <comment ref="O9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difference between g_disk and g_wiped in my lab book</t>
        </r>
      </text>
    </comment>
    <comment ref="P9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lighter color. Darker cell pack H=0.164</t>
        </r>
      </text>
    </comment>
  </commentList>
</comments>
</file>

<file path=xl/sharedStrings.xml><?xml version="1.0" encoding="utf-8"?>
<sst xmlns="http://schemas.openxmlformats.org/spreadsheetml/2006/main" count="371" uniqueCount="62">
  <si>
    <t>Disk</t>
  </si>
  <si>
    <t>12H</t>
  </si>
  <si>
    <t>HCT</t>
  </si>
  <si>
    <t>70deg</t>
  </si>
  <si>
    <t>20deg</t>
  </si>
  <si>
    <t>Date</t>
  </si>
  <si>
    <t>Sex</t>
  </si>
  <si>
    <t>M</t>
  </si>
  <si>
    <t>HCT_plas</t>
  </si>
  <si>
    <t>UV280</t>
  </si>
  <si>
    <t>UV421</t>
  </si>
  <si>
    <t>UV600</t>
  </si>
  <si>
    <t>UV700</t>
  </si>
  <si>
    <t>Oneway Analysis of g_plas By Disk</t>
  </si>
  <si>
    <t>Std Err Dif</t>
  </si>
  <si>
    <t>DF</t>
  </si>
  <si>
    <t>Upper CL Dif</t>
  </si>
  <si>
    <t>Prob &gt; |t|</t>
  </si>
  <si>
    <t>Lower CL Dif</t>
  </si>
  <si>
    <t>Prob &gt; t</t>
  </si>
  <si>
    <t>Confidence</t>
  </si>
  <si>
    <t>Prob &lt; t</t>
  </si>
  <si>
    <t>Excluded Rows</t>
  </si>
  <si>
    <t>tube</t>
  </si>
  <si>
    <t>g_plas1</t>
  </si>
  <si>
    <t>g_plas2</t>
  </si>
  <si>
    <t>gplas_tot</t>
  </si>
  <si>
    <t>Tube</t>
  </si>
  <si>
    <t>whole</t>
  </si>
  <si>
    <t>plasma</t>
  </si>
  <si>
    <t>Type</t>
  </si>
  <si>
    <t>SE</t>
  </si>
  <si>
    <t>t_crit_95</t>
  </si>
  <si>
    <t>95% confidence</t>
  </si>
  <si>
    <t>Holdup</t>
  </si>
  <si>
    <t>Comments</t>
  </si>
  <si>
    <t>lysed</t>
  </si>
  <si>
    <t>70deg_0</t>
  </si>
  <si>
    <t>20deg_0</t>
  </si>
  <si>
    <t>70deg_16</t>
  </si>
  <si>
    <t>20deg_16</t>
  </si>
  <si>
    <t>Plas_final</t>
  </si>
  <si>
    <t>Plas_initial</t>
  </si>
  <si>
    <t>CollectionDelaySeconds</t>
  </si>
  <si>
    <t>70deg_16b</t>
  </si>
  <si>
    <t>20deg_16b</t>
  </si>
  <si>
    <t>20deg_0b</t>
  </si>
  <si>
    <t>70deg_0b</t>
  </si>
  <si>
    <t>70deg_.05in_16b</t>
  </si>
  <si>
    <t>F</t>
  </si>
  <si>
    <t>16b_glossy</t>
  </si>
  <si>
    <t>0b_glossy</t>
  </si>
  <si>
    <t>20.05_16x3_glossy_peo</t>
  </si>
  <si>
    <t>20.05_16x3_glossy_3mL</t>
  </si>
  <si>
    <t>20.05_16x3_glossy_5mL</t>
  </si>
  <si>
    <t>Trough Volume</t>
  </si>
  <si>
    <t>g_trough</t>
  </si>
  <si>
    <t>g_wiped</t>
  </si>
  <si>
    <t>20.05_16x3_glossy_4mL</t>
  </si>
  <si>
    <t>g_disk</t>
  </si>
  <si>
    <t>HCT_trough</t>
  </si>
  <si>
    <t>HCT_disk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</si>
</sst>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 holdup vs plasma recovery</a:t>
            </a:r>
          </a:p>
        </c:rich>
      </c:tx>
      <c:layout>
        <c:manualLayout>
          <c:xMode val="edge"/>
          <c:yMode val="edge"/>
          <c:x val="0.12855646344018437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Main_page_wide!$I$8:$I$15</c:f>
              <c:numCache>
                <c:formatCode>General</c:formatCode>
                <c:ptCount val="8"/>
                <c:pt idx="0">
                  <c:v>3.0890000000000004</c:v>
                </c:pt>
                <c:pt idx="1">
                  <c:v>3.080685714285714</c:v>
                </c:pt>
                <c:pt idx="2">
                  <c:v>2.9493000000000009</c:v>
                </c:pt>
                <c:pt idx="3">
                  <c:v>3.7954000000000008</c:v>
                </c:pt>
                <c:pt idx="4">
                  <c:v>3.3218999999999994</c:v>
                </c:pt>
                <c:pt idx="5">
                  <c:v>3.4311999999999996</c:v>
                </c:pt>
                <c:pt idx="6">
                  <c:v>3.7329999999999997</c:v>
                </c:pt>
                <c:pt idx="7">
                  <c:v>3.9050000000000002</c:v>
                </c:pt>
              </c:numCache>
            </c:numRef>
          </c:xVal>
          <c:yVal>
            <c:numRef>
              <c:f>Main_page_wide!$J$8:$J$15</c:f>
              <c:numCache>
                <c:formatCode>General</c:formatCode>
                <c:ptCount val="8"/>
                <c:pt idx="0">
                  <c:v>0.35</c:v>
                </c:pt>
                <c:pt idx="1">
                  <c:v>0.55000000000000004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BE-4BB3-83A6-8706B9602D6E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056192"/>
        <c:axId val="-1453048032"/>
      </c:scatterChart>
      <c:valAx>
        <c:axId val="-14530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g_plasma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48032"/>
        <c:crosses val="autoZero"/>
        <c:crossBetween val="midCat"/>
      </c:valAx>
      <c:valAx>
        <c:axId val="-1453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holdup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160020</xdr:rowOff>
    </xdr:from>
    <xdr:to>
      <xdr:col>24</xdr:col>
      <xdr:colOff>571765</xdr:colOff>
      <xdr:row>21</xdr:row>
      <xdr:rowOff>83820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BFBBC99-885F-4EF6-B984-4882307E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342900"/>
          <a:ext cx="4762765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601980</xdr:colOff>
      <xdr:row>23</xdr:row>
      <xdr:rowOff>15240</xdr:rowOff>
    </xdr:from>
    <xdr:to>
      <xdr:col>25</xdr:col>
      <xdr:colOff>15506</xdr:colOff>
      <xdr:row>41</xdr:row>
      <xdr:rowOff>46008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346EC53-EF7D-4616-BDFA-5D8CA0D5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6980" y="5135880"/>
          <a:ext cx="3071126" cy="332260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33</xdr:row>
      <xdr:rowOff>15240</xdr:rowOff>
    </xdr:from>
    <xdr:to>
      <xdr:col>15</xdr:col>
      <xdr:colOff>141199</xdr:colOff>
      <xdr:row>49</xdr:row>
      <xdr:rowOff>38356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4A121844-DCEF-493C-B950-93833269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6301740"/>
          <a:ext cx="2551024" cy="3071116"/>
        </a:xfrm>
        <a:prstGeom prst="rect">
          <a:avLst/>
        </a:prstGeom>
      </xdr:spPr>
    </xdr:pic>
    <xdr:clientData/>
  </xdr:twoCellAnchor>
  <xdr:twoCellAnchor editAs="oneCell">
    <xdr:from>
      <xdr:col>11</xdr:col>
      <xdr:colOff>398145</xdr:colOff>
      <xdr:row>16</xdr:row>
      <xdr:rowOff>188595</xdr:rowOff>
    </xdr:from>
    <xdr:to>
      <xdr:col>17</xdr:col>
      <xdr:colOff>207945</xdr:colOff>
      <xdr:row>30</xdr:row>
      <xdr:rowOff>66886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F3493C57-AF06-4E58-AE0A-802C6FD0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945" y="4189095"/>
          <a:ext cx="3353100" cy="2545291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543233</xdr:colOff>
      <xdr:row>30</xdr:row>
      <xdr:rowOff>85725</xdr:rowOff>
    </xdr:from>
    <xdr:to>
      <xdr:col>17</xdr:col>
      <xdr:colOff>541019</xdr:colOff>
      <xdr:row>46</xdr:row>
      <xdr:rowOff>65123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6F423840-B72F-4217-9ED7-6AC9B7BD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033" y="6753225"/>
          <a:ext cx="3541086" cy="3027398"/>
        </a:xfrm>
        <a:prstGeom prst="rect">
          <a:avLst/>
        </a:prstGeom>
      </xdr:spPr>
    </xdr:pic>
    <xdr:clientData/>
  </xdr:twoCellAnchor>
  <xdr:twoCellAnchor>
    <xdr:from>
      <xdr:col>12</xdr:col>
      <xdr:colOff>249555</xdr:colOff>
      <xdr:row>7</xdr:row>
      <xdr:rowOff>127635</xdr:rowOff>
    </xdr:from>
    <xdr:to>
      <xdr:col>17</xdr:col>
      <xdr:colOff>327660</xdr:colOff>
      <xdr:row>19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C7C2062-9BD2-442C-85A1-AC7A4EB0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"/>
  <sheetViews>
    <sheetView workbookViewId="0">
      <selection activeCell="I8" sqref="I8:I15"/>
    </sheetView>
  </sheetViews>
  <sheetFormatPr defaultColWidth="8.85546875" defaultRowHeight="15" x14ac:dyDescent="0.25"/>
  <cols>
    <col min="1" max="1" width="9.7109375" bestFit="1" customWidth="1"/>
    <col min="2" max="2" width="5.140625" bestFit="1" customWidth="1"/>
    <col min="3" max="3" width="10.5703125" customWidth="1"/>
    <col min="4" max="4" width="4.140625" bestFit="1" customWidth="1"/>
    <col min="5" max="5" width="8.28515625" customWidth="1"/>
    <col min="6" max="6" width="9.5703125" customWidth="1"/>
    <col min="7" max="7" width="7" bestFit="1" customWidth="1"/>
    <col min="8" max="10" width="7" customWidth="1"/>
    <col min="11" max="11" width="7.28515625" customWidth="1"/>
  </cols>
  <sheetData>
    <row r="1" spans="1:22" x14ac:dyDescent="0.25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43</v>
      </c>
      <c r="G1" t="s">
        <v>42</v>
      </c>
      <c r="H1" t="s">
        <v>41</v>
      </c>
      <c r="I1" t="s">
        <v>26</v>
      </c>
      <c r="J1" t="s">
        <v>34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35</v>
      </c>
    </row>
    <row r="2" spans="1:22" x14ac:dyDescent="0.25">
      <c r="A2" s="1">
        <v>43242</v>
      </c>
      <c r="B2" s="5">
        <v>1</v>
      </c>
      <c r="C2" t="s">
        <v>1</v>
      </c>
      <c r="D2" t="s">
        <v>7</v>
      </c>
      <c r="E2" s="2">
        <v>48</v>
      </c>
      <c r="I2">
        <v>4.0156999999999998</v>
      </c>
    </row>
    <row r="3" spans="1:22" x14ac:dyDescent="0.25">
      <c r="A3" s="1">
        <v>43242</v>
      </c>
      <c r="B3" s="5">
        <v>2</v>
      </c>
      <c r="C3" t="s">
        <v>1</v>
      </c>
      <c r="D3" t="s">
        <v>7</v>
      </c>
      <c r="E3" s="2">
        <v>48</v>
      </c>
      <c r="I3">
        <v>3.9187999999999992</v>
      </c>
    </row>
    <row r="4" spans="1:22" x14ac:dyDescent="0.25">
      <c r="A4" s="1">
        <v>43242</v>
      </c>
      <c r="B4" s="5">
        <v>3</v>
      </c>
      <c r="C4" t="s">
        <v>39</v>
      </c>
      <c r="D4" t="s">
        <v>7</v>
      </c>
      <c r="E4" s="2">
        <v>48</v>
      </c>
      <c r="I4">
        <v>4.4285000000000005</v>
      </c>
      <c r="S4" t="s">
        <v>13</v>
      </c>
    </row>
    <row r="5" spans="1:22" x14ac:dyDescent="0.25">
      <c r="A5" s="1">
        <v>43242</v>
      </c>
      <c r="B5" s="5">
        <v>4</v>
      </c>
      <c r="C5" t="s">
        <v>39</v>
      </c>
      <c r="D5" t="s">
        <v>7</v>
      </c>
      <c r="E5" s="2">
        <v>48</v>
      </c>
      <c r="I5">
        <v>4.8489000000000004</v>
      </c>
    </row>
    <row r="6" spans="1:22" x14ac:dyDescent="0.25">
      <c r="A6" s="1">
        <v>43242</v>
      </c>
      <c r="B6" s="5">
        <v>5</v>
      </c>
      <c r="C6" t="s">
        <v>40</v>
      </c>
      <c r="D6" t="s">
        <v>7</v>
      </c>
      <c r="E6" s="2">
        <v>48</v>
      </c>
      <c r="I6">
        <v>3.5714999999999995</v>
      </c>
    </row>
    <row r="7" spans="1:22" x14ac:dyDescent="0.25">
      <c r="A7" s="1">
        <v>43242</v>
      </c>
      <c r="B7" s="5">
        <v>6</v>
      </c>
      <c r="C7" t="s">
        <v>40</v>
      </c>
      <c r="D7" t="s">
        <v>7</v>
      </c>
      <c r="E7" s="2">
        <v>48</v>
      </c>
      <c r="I7">
        <v>4.0186999999999991</v>
      </c>
    </row>
    <row r="8" spans="1:22" x14ac:dyDescent="0.25">
      <c r="A8" s="1">
        <v>43258</v>
      </c>
      <c r="B8" s="5">
        <v>1</v>
      </c>
      <c r="C8" t="s">
        <v>38</v>
      </c>
      <c r="D8" t="s">
        <v>7</v>
      </c>
      <c r="E8" s="2">
        <v>49</v>
      </c>
      <c r="F8">
        <v>60</v>
      </c>
      <c r="G8">
        <f>H8</f>
        <v>3.0890000000000004</v>
      </c>
      <c r="H8">
        <v>3.0890000000000004</v>
      </c>
      <c r="I8" s="4">
        <f>H8</f>
        <v>3.0890000000000004</v>
      </c>
      <c r="J8" s="4">
        <v>0.35</v>
      </c>
      <c r="K8">
        <v>2.7</v>
      </c>
      <c r="S8" t="s">
        <v>14</v>
      </c>
      <c r="T8">
        <v>0.25727</v>
      </c>
      <c r="U8" t="s">
        <v>15</v>
      </c>
      <c r="V8">
        <v>6.7259070000000003</v>
      </c>
    </row>
    <row r="9" spans="1:22" x14ac:dyDescent="0.25">
      <c r="A9" s="1">
        <v>43258</v>
      </c>
      <c r="B9" s="5">
        <v>2</v>
      </c>
      <c r="C9" t="s">
        <v>37</v>
      </c>
      <c r="D9" t="s">
        <v>7</v>
      </c>
      <c r="E9" s="2">
        <v>49</v>
      </c>
      <c r="F9">
        <v>60</v>
      </c>
      <c r="G9" s="3">
        <v>2.4636857142857149</v>
      </c>
      <c r="H9" s="4">
        <v>0.6169999999999991</v>
      </c>
      <c r="I9" s="4">
        <f>H9+G9</f>
        <v>3.080685714285714</v>
      </c>
      <c r="J9" s="4">
        <v>0.55000000000000004</v>
      </c>
      <c r="K9">
        <v>3.1850000000000001</v>
      </c>
      <c r="S9" t="s">
        <v>16</v>
      </c>
      <c r="T9">
        <v>1.3108900000000001</v>
      </c>
      <c r="U9" t="s">
        <v>17</v>
      </c>
      <c r="V9">
        <v>3.1300000000000001E-2</v>
      </c>
    </row>
    <row r="10" spans="1:22" x14ac:dyDescent="0.25">
      <c r="A10" s="1">
        <v>43258</v>
      </c>
      <c r="B10" s="5">
        <v>3</v>
      </c>
      <c r="C10" t="s">
        <v>37</v>
      </c>
      <c r="D10" t="s">
        <v>7</v>
      </c>
      <c r="E10" s="2">
        <v>49</v>
      </c>
      <c r="F10">
        <v>60</v>
      </c>
      <c r="G10">
        <v>2.1307000000000009</v>
      </c>
      <c r="H10">
        <v>0.81859999999999999</v>
      </c>
      <c r="I10" s="4">
        <f t="shared" ref="I10:I21" si="0">H10+G10</f>
        <v>2.9493000000000009</v>
      </c>
      <c r="J10" s="4">
        <v>0.8</v>
      </c>
      <c r="K10">
        <v>3.8099999999999996</v>
      </c>
      <c r="S10" t="s">
        <v>18</v>
      </c>
      <c r="T10">
        <v>8.405E-2</v>
      </c>
      <c r="U10" t="s">
        <v>19</v>
      </c>
      <c r="V10">
        <v>1.5699999999999999E-2</v>
      </c>
    </row>
    <row r="11" spans="1:22" x14ac:dyDescent="0.25">
      <c r="A11" s="1">
        <v>43258</v>
      </c>
      <c r="B11" s="5">
        <v>4</v>
      </c>
      <c r="C11" t="s">
        <v>37</v>
      </c>
      <c r="D11" t="s">
        <v>7</v>
      </c>
      <c r="E11" s="2">
        <v>49</v>
      </c>
      <c r="F11">
        <v>60</v>
      </c>
      <c r="G11">
        <v>3.2942</v>
      </c>
      <c r="H11">
        <v>0.50120000000000076</v>
      </c>
      <c r="I11" s="4">
        <f t="shared" si="0"/>
        <v>3.7954000000000008</v>
      </c>
      <c r="J11" s="4">
        <v>0.6</v>
      </c>
      <c r="K11">
        <v>3.8949999999999996</v>
      </c>
      <c r="S11" t="s">
        <v>20</v>
      </c>
      <c r="T11">
        <v>0.95</v>
      </c>
      <c r="U11" t="s">
        <v>21</v>
      </c>
      <c r="V11">
        <v>0.98429999999999995</v>
      </c>
    </row>
    <row r="12" spans="1:22" x14ac:dyDescent="0.25">
      <c r="A12" s="1">
        <v>43258</v>
      </c>
      <c r="B12" s="5">
        <v>5</v>
      </c>
      <c r="C12" t="s">
        <v>38</v>
      </c>
      <c r="D12" t="s">
        <v>7</v>
      </c>
      <c r="E12" s="2">
        <v>49</v>
      </c>
      <c r="F12">
        <v>60</v>
      </c>
      <c r="G12">
        <v>3.2371999999999996</v>
      </c>
      <c r="H12">
        <v>8.4699999999999775E-2</v>
      </c>
      <c r="I12" s="4">
        <f t="shared" si="0"/>
        <v>3.3218999999999994</v>
      </c>
      <c r="J12" s="4">
        <v>0.4</v>
      </c>
      <c r="K12">
        <v>3.07</v>
      </c>
    </row>
    <row r="13" spans="1:22" x14ac:dyDescent="0.25">
      <c r="A13" s="1">
        <v>43258</v>
      </c>
      <c r="B13" s="5">
        <v>6</v>
      </c>
      <c r="C13" t="s">
        <v>38</v>
      </c>
      <c r="D13" t="s">
        <v>7</v>
      </c>
      <c r="E13" s="2">
        <v>49</v>
      </c>
      <c r="F13">
        <v>60</v>
      </c>
      <c r="G13">
        <v>3.2792000000000003</v>
      </c>
      <c r="H13">
        <v>0.15199999999999925</v>
      </c>
      <c r="I13" s="4">
        <f t="shared" si="0"/>
        <v>3.4311999999999996</v>
      </c>
      <c r="J13" s="4">
        <v>0.5</v>
      </c>
      <c r="K13">
        <v>3.79</v>
      </c>
    </row>
    <row r="14" spans="1:22" x14ac:dyDescent="0.25">
      <c r="A14" s="1">
        <v>43258</v>
      </c>
      <c r="B14" s="5">
        <v>7</v>
      </c>
      <c r="C14" t="s">
        <v>38</v>
      </c>
      <c r="D14" t="s">
        <v>7</v>
      </c>
      <c r="E14" s="2">
        <v>49</v>
      </c>
      <c r="F14">
        <v>60</v>
      </c>
      <c r="G14">
        <v>3.5134999999999996</v>
      </c>
      <c r="H14">
        <v>0.21950000000000003</v>
      </c>
      <c r="I14" s="4">
        <f t="shared" si="0"/>
        <v>3.7329999999999997</v>
      </c>
      <c r="J14" s="4">
        <v>0.7</v>
      </c>
      <c r="K14">
        <f>(5.94+6.36)/2</f>
        <v>6.15</v>
      </c>
      <c r="S14" t="s">
        <v>22</v>
      </c>
      <c r="T14">
        <v>3</v>
      </c>
    </row>
    <row r="15" spans="1:22" x14ac:dyDescent="0.25">
      <c r="A15" s="1">
        <v>43258</v>
      </c>
      <c r="B15" s="5">
        <v>8</v>
      </c>
      <c r="C15" t="s">
        <v>37</v>
      </c>
      <c r="D15" t="s">
        <v>7</v>
      </c>
      <c r="E15" s="2">
        <v>49</v>
      </c>
      <c r="F15">
        <v>60</v>
      </c>
      <c r="G15">
        <v>3.7808999999999999</v>
      </c>
      <c r="H15">
        <v>0.12410000000000032</v>
      </c>
      <c r="I15" s="4">
        <f t="shared" si="0"/>
        <v>3.9050000000000002</v>
      </c>
      <c r="J15" s="4">
        <v>0.6</v>
      </c>
      <c r="K15">
        <f>(4.29+4.59)/2</f>
        <v>4.4399999999999995</v>
      </c>
    </row>
    <row r="16" spans="1:22" x14ac:dyDescent="0.25">
      <c r="A16" s="1">
        <v>43264</v>
      </c>
      <c r="B16" s="5">
        <v>1</v>
      </c>
      <c r="C16" t="s">
        <v>37</v>
      </c>
      <c r="D16" t="s">
        <v>7</v>
      </c>
      <c r="F16">
        <v>30</v>
      </c>
      <c r="G16">
        <v>3.0929000000000002</v>
      </c>
      <c r="H16">
        <v>4.9500000000000099E-2</v>
      </c>
      <c r="I16" s="4">
        <f t="shared" si="0"/>
        <v>3.1424000000000003</v>
      </c>
    </row>
    <row r="17" spans="1:20" x14ac:dyDescent="0.25">
      <c r="A17" s="1">
        <v>43264</v>
      </c>
      <c r="B17" s="5">
        <v>2</v>
      </c>
      <c r="C17" t="s">
        <v>37</v>
      </c>
      <c r="D17" t="s">
        <v>7</v>
      </c>
      <c r="F17">
        <v>30</v>
      </c>
      <c r="G17">
        <v>3.5048000000000004</v>
      </c>
      <c r="H17">
        <v>0.3642000000000003</v>
      </c>
      <c r="I17" s="4">
        <f t="shared" si="0"/>
        <v>3.8690000000000007</v>
      </c>
    </row>
    <row r="18" spans="1:20" x14ac:dyDescent="0.25">
      <c r="A18" s="1">
        <v>43264</v>
      </c>
      <c r="B18" s="2">
        <v>3</v>
      </c>
      <c r="C18" t="s">
        <v>37</v>
      </c>
      <c r="D18" t="s">
        <v>7</v>
      </c>
      <c r="F18">
        <v>30</v>
      </c>
      <c r="G18">
        <v>1.5942999999999996</v>
      </c>
      <c r="H18">
        <v>0.12849999999999984</v>
      </c>
      <c r="I18" s="4">
        <f t="shared" si="0"/>
        <v>1.7227999999999994</v>
      </c>
      <c r="P18" s="2" t="s">
        <v>27</v>
      </c>
      <c r="Q18" t="s">
        <v>30</v>
      </c>
      <c r="R18" t="s">
        <v>2</v>
      </c>
    </row>
    <row r="19" spans="1:20" x14ac:dyDescent="0.25">
      <c r="A19" s="1">
        <v>43264</v>
      </c>
      <c r="B19" s="2">
        <v>4</v>
      </c>
      <c r="C19" t="s">
        <v>1</v>
      </c>
      <c r="D19" t="s">
        <v>7</v>
      </c>
      <c r="F19">
        <v>30</v>
      </c>
      <c r="G19">
        <v>4.2109999999999994</v>
      </c>
      <c r="H19" s="4">
        <v>0.28710000000000058</v>
      </c>
      <c r="I19" s="4">
        <f t="shared" si="0"/>
        <v>4.4981</v>
      </c>
      <c r="P19" s="2">
        <v>1</v>
      </c>
      <c r="Q19" t="s">
        <v>28</v>
      </c>
      <c r="R19">
        <v>49.3</v>
      </c>
      <c r="S19">
        <f>_xlfn.STDEV.S(R19:R30)/SQRT(COUNT(R19:R30))</f>
        <v>0.31491420989844154</v>
      </c>
      <c r="T19" t="s">
        <v>31</v>
      </c>
    </row>
    <row r="20" spans="1:20" x14ac:dyDescent="0.25">
      <c r="A20" s="1">
        <v>43264</v>
      </c>
      <c r="B20" s="2">
        <v>5</v>
      </c>
      <c r="C20" t="s">
        <v>38</v>
      </c>
      <c r="D20" t="s">
        <v>7</v>
      </c>
      <c r="F20">
        <v>30</v>
      </c>
      <c r="G20">
        <v>3.2352999999999996</v>
      </c>
      <c r="H20">
        <v>0.58030000000000115</v>
      </c>
      <c r="I20" s="4">
        <f t="shared" si="0"/>
        <v>3.8156000000000008</v>
      </c>
      <c r="K20" s="4"/>
      <c r="P20" s="2">
        <v>1</v>
      </c>
      <c r="Q20" t="s">
        <v>28</v>
      </c>
      <c r="R20">
        <v>49.2</v>
      </c>
      <c r="S20">
        <f>_xlfn.T.INV.2T(0.05,COUNT(R19:R30)-1)</f>
        <v>2.2009851600916384</v>
      </c>
      <c r="T20" t="s">
        <v>32</v>
      </c>
    </row>
    <row r="21" spans="1:20" x14ac:dyDescent="0.25">
      <c r="A21" s="1">
        <v>43264</v>
      </c>
      <c r="B21" s="2">
        <v>6</v>
      </c>
      <c r="C21" t="s">
        <v>37</v>
      </c>
      <c r="D21" t="s">
        <v>7</v>
      </c>
      <c r="F21">
        <v>30</v>
      </c>
      <c r="G21">
        <v>3.1165000000000003</v>
      </c>
      <c r="H21">
        <v>0.7524999999999995</v>
      </c>
      <c r="I21" s="4">
        <f t="shared" si="0"/>
        <v>3.8689999999999998</v>
      </c>
      <c r="P21" s="2">
        <v>2</v>
      </c>
      <c r="Q21" t="s">
        <v>28</v>
      </c>
      <c r="R21">
        <v>48.7</v>
      </c>
      <c r="S21">
        <f>S19*S20</f>
        <v>0.69312150268845318</v>
      </c>
      <c r="T21" t="s">
        <v>33</v>
      </c>
    </row>
    <row r="22" spans="1:20" x14ac:dyDescent="0.25">
      <c r="A22" s="1"/>
      <c r="B22" s="2"/>
      <c r="P22" s="2">
        <v>2</v>
      </c>
      <c r="Q22" t="s">
        <v>28</v>
      </c>
      <c r="R22">
        <v>49.2</v>
      </c>
    </row>
    <row r="23" spans="1:20" x14ac:dyDescent="0.25">
      <c r="A23" s="1"/>
      <c r="B23" s="2"/>
      <c r="P23" s="2">
        <v>3</v>
      </c>
      <c r="Q23" t="s">
        <v>28</v>
      </c>
      <c r="R23">
        <v>49.23</v>
      </c>
    </row>
    <row r="24" spans="1:20" x14ac:dyDescent="0.25">
      <c r="A24" s="1"/>
      <c r="B24" s="2"/>
      <c r="P24" s="2">
        <v>3</v>
      </c>
      <c r="Q24" t="s">
        <v>28</v>
      </c>
      <c r="R24">
        <v>49.25</v>
      </c>
    </row>
    <row r="25" spans="1:20" x14ac:dyDescent="0.25">
      <c r="A25" s="1"/>
      <c r="B25" s="2"/>
      <c r="P25" s="2">
        <v>4</v>
      </c>
      <c r="Q25" t="s">
        <v>28</v>
      </c>
      <c r="R25">
        <v>48.43</v>
      </c>
    </row>
    <row r="26" spans="1:20" x14ac:dyDescent="0.25">
      <c r="A26" s="1"/>
      <c r="B26" s="2"/>
      <c r="P26" s="2">
        <v>4</v>
      </c>
      <c r="Q26" t="s">
        <v>28</v>
      </c>
      <c r="R26">
        <v>49.62</v>
      </c>
    </row>
    <row r="27" spans="1:20" x14ac:dyDescent="0.25">
      <c r="A27" s="1"/>
      <c r="B27" s="2"/>
      <c r="H27" s="4"/>
      <c r="P27" s="2">
        <v>5</v>
      </c>
      <c r="Q27" t="s">
        <v>28</v>
      </c>
      <c r="R27">
        <v>50.77</v>
      </c>
    </row>
    <row r="28" spans="1:20" x14ac:dyDescent="0.25">
      <c r="A28" s="1"/>
      <c r="B28" s="2"/>
      <c r="P28" s="2">
        <v>5</v>
      </c>
      <c r="Q28" t="s">
        <v>28</v>
      </c>
      <c r="R28">
        <v>49.25</v>
      </c>
    </row>
    <row r="29" spans="1:20" x14ac:dyDescent="0.25">
      <c r="A29" s="1"/>
      <c r="B29" s="2"/>
      <c r="P29" s="2">
        <v>6</v>
      </c>
      <c r="Q29" t="s">
        <v>28</v>
      </c>
      <c r="R29">
        <v>46.04</v>
      </c>
    </row>
    <row r="30" spans="1:20" x14ac:dyDescent="0.25">
      <c r="A30" s="1"/>
      <c r="B30" s="2"/>
      <c r="P30" s="2">
        <v>6</v>
      </c>
      <c r="Q30" t="s">
        <v>28</v>
      </c>
      <c r="R30">
        <v>49.23</v>
      </c>
    </row>
    <row r="31" spans="1:20" x14ac:dyDescent="0.25">
      <c r="A31" s="1"/>
      <c r="B31" s="2"/>
      <c r="P31" s="2">
        <v>1</v>
      </c>
      <c r="Q31" t="s">
        <v>29</v>
      </c>
      <c r="R31">
        <v>2.9</v>
      </c>
      <c r="S31">
        <f>_xlfn.STDEV.S(R31:R42)/SQRT(COUNT(R31:R42))</f>
        <v>0.18259424023132939</v>
      </c>
      <c r="T31" t="s">
        <v>31</v>
      </c>
    </row>
    <row r="32" spans="1:20" x14ac:dyDescent="0.25">
      <c r="A32" s="1"/>
      <c r="B32" s="2"/>
      <c r="P32" s="2">
        <v>1</v>
      </c>
      <c r="Q32" t="s">
        <v>29</v>
      </c>
      <c r="R32">
        <v>2.5</v>
      </c>
      <c r="S32">
        <f>_xlfn.T.INV.2T(0.05,COUNT(R31:R42)-1)</f>
        <v>2.2009851600916384</v>
      </c>
      <c r="T32" t="s">
        <v>32</v>
      </c>
    </row>
    <row r="33" spans="1:20" x14ac:dyDescent="0.25">
      <c r="A33" s="1"/>
      <c r="B33" s="2"/>
      <c r="P33" s="2">
        <v>2</v>
      </c>
      <c r="Q33" t="s">
        <v>29</v>
      </c>
      <c r="R33">
        <v>3.2</v>
      </c>
      <c r="S33">
        <f>S31*S32</f>
        <v>0.40188721306736358</v>
      </c>
      <c r="T33" t="s">
        <v>33</v>
      </c>
    </row>
    <row r="34" spans="1:20" x14ac:dyDescent="0.25">
      <c r="A34" s="1"/>
      <c r="B34" s="2"/>
      <c r="P34" s="2">
        <v>2</v>
      </c>
      <c r="Q34" t="s">
        <v>29</v>
      </c>
      <c r="R34">
        <v>3.17</v>
      </c>
    </row>
    <row r="35" spans="1:20" x14ac:dyDescent="0.25">
      <c r="A35" s="1"/>
      <c r="B35" s="2"/>
      <c r="P35" s="2">
        <v>3</v>
      </c>
      <c r="Q35" t="s">
        <v>29</v>
      </c>
      <c r="R35">
        <v>3.07</v>
      </c>
    </row>
    <row r="36" spans="1:20" x14ac:dyDescent="0.25">
      <c r="A36" s="1"/>
      <c r="B36" s="2"/>
      <c r="P36" s="2">
        <v>3</v>
      </c>
      <c r="Q36" t="s">
        <v>29</v>
      </c>
      <c r="R36">
        <v>4.55</v>
      </c>
    </row>
    <row r="37" spans="1:20" x14ac:dyDescent="0.25">
      <c r="A37" s="1"/>
      <c r="B37" s="2"/>
      <c r="P37" s="2">
        <v>4</v>
      </c>
      <c r="Q37" t="s">
        <v>29</v>
      </c>
      <c r="R37">
        <v>4.5199999999999996</v>
      </c>
    </row>
    <row r="38" spans="1:20" x14ac:dyDescent="0.25">
      <c r="A38" s="1"/>
      <c r="B38" s="2"/>
      <c r="P38" s="2">
        <v>4</v>
      </c>
      <c r="Q38" t="s">
        <v>29</v>
      </c>
      <c r="R38">
        <v>3.27</v>
      </c>
    </row>
    <row r="39" spans="1:20" x14ac:dyDescent="0.25">
      <c r="A39" s="1"/>
      <c r="B39" s="2"/>
      <c r="P39" s="2">
        <v>5</v>
      </c>
      <c r="Q39" t="s">
        <v>29</v>
      </c>
      <c r="R39">
        <v>3.07</v>
      </c>
    </row>
    <row r="40" spans="1:20" x14ac:dyDescent="0.25">
      <c r="A40" s="1"/>
      <c r="B40" s="2"/>
      <c r="P40" s="2">
        <v>5</v>
      </c>
      <c r="Q40" t="s">
        <v>29</v>
      </c>
      <c r="R40">
        <v>3.07</v>
      </c>
    </row>
    <row r="41" spans="1:20" x14ac:dyDescent="0.25">
      <c r="A41" s="1"/>
      <c r="B41" s="2"/>
      <c r="P41" s="2">
        <v>6</v>
      </c>
      <c r="Q41" t="s">
        <v>29</v>
      </c>
      <c r="R41">
        <v>3.68</v>
      </c>
    </row>
    <row r="42" spans="1:20" x14ac:dyDescent="0.25">
      <c r="P42" s="2">
        <v>6</v>
      </c>
      <c r="Q42" t="s">
        <v>29</v>
      </c>
      <c r="R42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114"/>
  <sheetViews>
    <sheetView tabSelected="1" workbookViewId="0">
      <pane ySplit="1" topLeftCell="A95" activePane="bottomLeft" state="frozen"/>
      <selection pane="bottomLeft" activeCell="M1" sqref="M1"/>
    </sheetView>
  </sheetViews>
  <sheetFormatPr defaultRowHeight="15" x14ac:dyDescent="0.25"/>
  <cols>
    <col min="1" max="1" width="9.7109375" bestFit="1" customWidth="1"/>
    <col min="2" max="2" width="5.42578125" bestFit="1" customWidth="1"/>
    <col min="3" max="3" width="22" bestFit="1" customWidth="1"/>
    <col min="4" max="4" width="14.7109375" bestFit="1" customWidth="1"/>
    <col min="5" max="5" width="7.28515625" customWidth="1"/>
    <col min="6" max="9" width="8.85546875" style="6"/>
    <col min="10" max="10" width="8.85546875" style="10"/>
    <col min="11" max="11" width="8.85546875" style="9"/>
    <col min="12" max="13" width="9.140625" style="9"/>
    <col min="14" max="15" width="8.85546875" style="10"/>
    <col min="17" max="17" width="17.85546875" style="10" bestFit="1" customWidth="1"/>
  </cols>
  <sheetData>
    <row r="1" spans="1:16" x14ac:dyDescent="0.25">
      <c r="A1" t="s">
        <v>5</v>
      </c>
      <c r="B1" t="s">
        <v>23</v>
      </c>
      <c r="C1" t="s">
        <v>0</v>
      </c>
      <c r="D1" t="s">
        <v>55</v>
      </c>
      <c r="E1" t="s">
        <v>6</v>
      </c>
      <c r="F1" s="5" t="s">
        <v>2</v>
      </c>
      <c r="G1" t="s">
        <v>43</v>
      </c>
      <c r="H1" t="s">
        <v>42</v>
      </c>
      <c r="I1" t="s">
        <v>41</v>
      </c>
      <c r="J1" t="s">
        <v>26</v>
      </c>
      <c r="K1" s="5" t="s">
        <v>8</v>
      </c>
      <c r="L1" s="5" t="s">
        <v>60</v>
      </c>
      <c r="M1" s="5" t="s">
        <v>61</v>
      </c>
      <c r="N1" s="5" t="s">
        <v>59</v>
      </c>
      <c r="O1" s="5" t="s">
        <v>57</v>
      </c>
      <c r="P1" s="5" t="s">
        <v>56</v>
      </c>
    </row>
    <row r="2" spans="1:16" x14ac:dyDescent="0.25">
      <c r="A2" s="1">
        <v>43242</v>
      </c>
      <c r="B2" s="5">
        <v>1</v>
      </c>
      <c r="C2" t="s">
        <v>1</v>
      </c>
      <c r="D2">
        <v>4</v>
      </c>
      <c r="E2" t="s">
        <v>7</v>
      </c>
      <c r="F2" s="6">
        <v>0.48</v>
      </c>
      <c r="G2" s="6">
        <v>0</v>
      </c>
      <c r="H2" s="6">
        <v>0</v>
      </c>
      <c r="I2" s="6">
        <v>0</v>
      </c>
      <c r="J2" s="10">
        <v>4.0156999999999998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x14ac:dyDescent="0.25">
      <c r="A3" s="1">
        <v>43242</v>
      </c>
      <c r="B3" s="5">
        <v>2</v>
      </c>
      <c r="C3" t="s">
        <v>1</v>
      </c>
      <c r="D3">
        <v>4</v>
      </c>
      <c r="E3" t="s">
        <v>7</v>
      </c>
      <c r="F3" s="6">
        <v>0.48</v>
      </c>
      <c r="J3" s="10">
        <v>3.9187999999999992</v>
      </c>
      <c r="N3" s="9"/>
      <c r="O3" s="9"/>
    </row>
    <row r="4" spans="1:16" x14ac:dyDescent="0.25">
      <c r="A4" s="1">
        <v>43242</v>
      </c>
      <c r="B4" s="5">
        <v>3</v>
      </c>
      <c r="C4" t="s">
        <v>44</v>
      </c>
      <c r="D4">
        <v>4</v>
      </c>
      <c r="E4" t="s">
        <v>7</v>
      </c>
      <c r="F4" s="6">
        <v>0.48</v>
      </c>
      <c r="J4" s="10">
        <v>4.4285000000000005</v>
      </c>
      <c r="N4" s="9"/>
      <c r="O4" s="9"/>
    </row>
    <row r="5" spans="1:16" x14ac:dyDescent="0.25">
      <c r="A5" s="1">
        <v>43242</v>
      </c>
      <c r="B5" s="5">
        <v>4</v>
      </c>
      <c r="C5" t="s">
        <v>44</v>
      </c>
      <c r="D5">
        <v>4</v>
      </c>
      <c r="E5" t="s">
        <v>7</v>
      </c>
      <c r="F5" s="6">
        <v>0.48</v>
      </c>
      <c r="J5" s="10">
        <v>4.8489000000000004</v>
      </c>
      <c r="N5" s="9"/>
      <c r="O5" s="9"/>
    </row>
    <row r="6" spans="1:16" x14ac:dyDescent="0.25">
      <c r="A6" s="1">
        <v>43242</v>
      </c>
      <c r="B6" s="5">
        <v>5</v>
      </c>
      <c r="C6" t="s">
        <v>45</v>
      </c>
      <c r="D6">
        <v>4</v>
      </c>
      <c r="E6" t="s">
        <v>7</v>
      </c>
      <c r="F6" s="6">
        <v>0.48</v>
      </c>
      <c r="J6" s="10">
        <v>3.5714999999999995</v>
      </c>
      <c r="N6" s="9"/>
      <c r="O6" s="9"/>
    </row>
    <row r="7" spans="1:16" x14ac:dyDescent="0.25">
      <c r="A7" s="1">
        <v>43242</v>
      </c>
      <c r="B7" s="5">
        <v>6</v>
      </c>
      <c r="C7" t="s">
        <v>45</v>
      </c>
      <c r="D7">
        <v>4</v>
      </c>
      <c r="E7" t="s">
        <v>7</v>
      </c>
      <c r="F7" s="6">
        <v>0.48</v>
      </c>
      <c r="J7" s="10">
        <v>4.0186999999999991</v>
      </c>
      <c r="N7" s="9"/>
      <c r="O7" s="9"/>
    </row>
    <row r="8" spans="1:16" x14ac:dyDescent="0.25">
      <c r="A8" s="1">
        <v>43258</v>
      </c>
      <c r="B8" s="5">
        <v>1</v>
      </c>
      <c r="C8" t="s">
        <v>46</v>
      </c>
      <c r="D8">
        <v>4</v>
      </c>
      <c r="E8" t="s">
        <v>7</v>
      </c>
      <c r="F8" s="6">
        <v>0.49</v>
      </c>
      <c r="G8" s="6">
        <v>60</v>
      </c>
      <c r="H8" s="6">
        <f>I8</f>
        <v>3.0890000000000004</v>
      </c>
      <c r="I8" s="6">
        <v>3.0890000000000004</v>
      </c>
      <c r="J8" s="12">
        <f>I8</f>
        <v>3.0890000000000004</v>
      </c>
      <c r="K8" s="9">
        <v>2.7000000000000003E-2</v>
      </c>
      <c r="N8" s="9"/>
      <c r="O8" s="9"/>
    </row>
    <row r="9" spans="1:16" x14ac:dyDescent="0.25">
      <c r="A9" s="1">
        <v>43258</v>
      </c>
      <c r="B9" s="5">
        <v>2</v>
      </c>
      <c r="C9" t="s">
        <v>47</v>
      </c>
      <c r="D9">
        <v>4</v>
      </c>
      <c r="E9" t="s">
        <v>7</v>
      </c>
      <c r="F9" s="6">
        <v>0.49</v>
      </c>
      <c r="G9" s="6">
        <v>60</v>
      </c>
      <c r="H9" s="8">
        <v>2.4636857142857149</v>
      </c>
      <c r="I9" s="7">
        <v>0.6169999999999991</v>
      </c>
      <c r="J9" s="12">
        <f>I9+H9</f>
        <v>3.080685714285714</v>
      </c>
      <c r="K9" s="9">
        <v>3.1850000000000003E-2</v>
      </c>
      <c r="N9" s="9"/>
      <c r="O9" s="9"/>
    </row>
    <row r="10" spans="1:16" x14ac:dyDescent="0.25">
      <c r="A10" s="1">
        <v>43258</v>
      </c>
      <c r="B10" s="5">
        <v>3</v>
      </c>
      <c r="C10" t="s">
        <v>47</v>
      </c>
      <c r="D10">
        <v>4</v>
      </c>
      <c r="E10" t="s">
        <v>7</v>
      </c>
      <c r="F10" s="6">
        <v>0.49</v>
      </c>
      <c r="G10" s="6">
        <v>60</v>
      </c>
      <c r="H10" s="6">
        <v>2.1307000000000009</v>
      </c>
      <c r="I10" s="6">
        <v>0.81859999999999999</v>
      </c>
      <c r="J10" s="12">
        <f t="shared" ref="J10:J21" si="0">I10+H10</f>
        <v>2.9493000000000009</v>
      </c>
      <c r="K10" s="9">
        <v>3.8099999999999995E-2</v>
      </c>
      <c r="N10" s="9"/>
      <c r="O10" s="9"/>
    </row>
    <row r="11" spans="1:16" x14ac:dyDescent="0.25">
      <c r="A11" s="1">
        <v>43258</v>
      </c>
      <c r="B11" s="5">
        <v>4</v>
      </c>
      <c r="C11" t="s">
        <v>47</v>
      </c>
      <c r="D11">
        <v>4</v>
      </c>
      <c r="E11" t="s">
        <v>7</v>
      </c>
      <c r="F11" s="6">
        <v>0.49</v>
      </c>
      <c r="G11" s="6">
        <v>60</v>
      </c>
      <c r="H11" s="6">
        <v>3.2942</v>
      </c>
      <c r="I11" s="6">
        <v>0.50120000000000076</v>
      </c>
      <c r="J11" s="12">
        <f t="shared" si="0"/>
        <v>3.7954000000000008</v>
      </c>
      <c r="K11" s="9">
        <v>3.8949999999999999E-2</v>
      </c>
      <c r="N11" s="9"/>
      <c r="O11" s="9"/>
    </row>
    <row r="12" spans="1:16" x14ac:dyDescent="0.25">
      <c r="A12" s="1">
        <v>43258</v>
      </c>
      <c r="B12" s="5">
        <v>5</v>
      </c>
      <c r="C12" t="s">
        <v>46</v>
      </c>
      <c r="D12">
        <v>4</v>
      </c>
      <c r="E12" t="s">
        <v>7</v>
      </c>
      <c r="F12" s="6">
        <v>0.49</v>
      </c>
      <c r="G12" s="6">
        <v>60</v>
      </c>
      <c r="H12" s="6">
        <v>3.2371999999999996</v>
      </c>
      <c r="I12" s="6">
        <v>8.4699999999999775E-2</v>
      </c>
      <c r="J12" s="12">
        <f t="shared" si="0"/>
        <v>3.3218999999999994</v>
      </c>
      <c r="K12" s="9">
        <v>3.0699999999999998E-2</v>
      </c>
      <c r="N12" s="9"/>
      <c r="O12" s="9"/>
    </row>
    <row r="13" spans="1:16" x14ac:dyDescent="0.25">
      <c r="A13" s="1">
        <v>43258</v>
      </c>
      <c r="B13" s="5">
        <v>6</v>
      </c>
      <c r="C13" t="s">
        <v>46</v>
      </c>
      <c r="D13">
        <v>4</v>
      </c>
      <c r="E13" t="s">
        <v>7</v>
      </c>
      <c r="F13" s="6">
        <v>0.49</v>
      </c>
      <c r="G13" s="6">
        <v>60</v>
      </c>
      <c r="H13" s="6">
        <v>3.2792000000000003</v>
      </c>
      <c r="I13" s="6">
        <v>0.15199999999999925</v>
      </c>
      <c r="J13" s="12">
        <f t="shared" si="0"/>
        <v>3.4311999999999996</v>
      </c>
      <c r="K13" s="9">
        <v>3.7900000000000003E-2</v>
      </c>
      <c r="N13" s="9"/>
      <c r="O13" s="9"/>
    </row>
    <row r="14" spans="1:16" x14ac:dyDescent="0.25">
      <c r="A14" s="1">
        <v>43258</v>
      </c>
      <c r="B14" s="5">
        <v>7</v>
      </c>
      <c r="C14" t="s">
        <v>46</v>
      </c>
      <c r="D14">
        <v>4</v>
      </c>
      <c r="E14" t="s">
        <v>7</v>
      </c>
      <c r="F14" s="6">
        <v>0.49</v>
      </c>
      <c r="G14" s="6">
        <v>60</v>
      </c>
      <c r="H14" s="6">
        <v>3.5134999999999996</v>
      </c>
      <c r="I14" s="6">
        <v>0.21950000000000003</v>
      </c>
      <c r="J14" s="12">
        <f t="shared" si="0"/>
        <v>3.7329999999999997</v>
      </c>
      <c r="K14" s="9">
        <v>6.1500000000000006E-2</v>
      </c>
      <c r="N14" s="9"/>
      <c r="O14" s="9"/>
    </row>
    <row r="15" spans="1:16" x14ac:dyDescent="0.25">
      <c r="A15" s="1">
        <v>43258</v>
      </c>
      <c r="B15" s="5">
        <v>8</v>
      </c>
      <c r="C15" t="s">
        <v>47</v>
      </c>
      <c r="D15">
        <v>4</v>
      </c>
      <c r="E15" t="s">
        <v>7</v>
      </c>
      <c r="F15" s="6">
        <v>0.49</v>
      </c>
      <c r="G15" s="6">
        <v>60</v>
      </c>
      <c r="H15" s="6">
        <v>3.7808999999999999</v>
      </c>
      <c r="I15" s="6">
        <v>0.12410000000000032</v>
      </c>
      <c r="J15" s="12">
        <f t="shared" si="0"/>
        <v>3.9050000000000002</v>
      </c>
      <c r="K15" s="9">
        <v>4.4399999999999995E-2</v>
      </c>
      <c r="N15" s="9"/>
      <c r="O15" s="9"/>
    </row>
    <row r="16" spans="1:16" x14ac:dyDescent="0.25">
      <c r="A16" s="1">
        <v>43264</v>
      </c>
      <c r="B16" s="5">
        <v>1</v>
      </c>
      <c r="C16" t="s">
        <v>47</v>
      </c>
      <c r="D16">
        <v>4</v>
      </c>
      <c r="E16" t="s">
        <v>7</v>
      </c>
      <c r="G16" s="6">
        <v>30</v>
      </c>
      <c r="H16" s="6">
        <v>3.0929000000000002</v>
      </c>
      <c r="I16" s="6">
        <v>4.9500000000000099E-2</v>
      </c>
      <c r="J16" s="12">
        <f t="shared" si="0"/>
        <v>3.1424000000000003</v>
      </c>
      <c r="N16" s="9"/>
      <c r="O16" s="9"/>
    </row>
    <row r="17" spans="1:15" x14ac:dyDescent="0.25">
      <c r="A17" s="1">
        <v>43264</v>
      </c>
      <c r="B17" s="5">
        <v>2</v>
      </c>
      <c r="C17" t="s">
        <v>47</v>
      </c>
      <c r="D17">
        <v>4</v>
      </c>
      <c r="E17" t="s">
        <v>7</v>
      </c>
      <c r="G17" s="6">
        <v>30</v>
      </c>
      <c r="H17" s="6">
        <v>3.5048000000000004</v>
      </c>
      <c r="I17" s="6">
        <v>0.3642000000000003</v>
      </c>
      <c r="J17" s="12">
        <f t="shared" si="0"/>
        <v>3.8690000000000007</v>
      </c>
      <c r="N17" s="9"/>
      <c r="O17" s="9"/>
    </row>
    <row r="18" spans="1:15" x14ac:dyDescent="0.25">
      <c r="A18" s="1">
        <v>43264</v>
      </c>
      <c r="B18" s="2">
        <v>3</v>
      </c>
      <c r="C18" t="s">
        <v>47</v>
      </c>
      <c r="D18">
        <v>4</v>
      </c>
      <c r="E18" t="s">
        <v>7</v>
      </c>
      <c r="G18" s="6">
        <v>30</v>
      </c>
      <c r="H18" s="6">
        <v>1.5942999999999996</v>
      </c>
      <c r="I18" s="6">
        <v>0.12849999999999984</v>
      </c>
      <c r="J18" s="12">
        <f t="shared" si="0"/>
        <v>1.7227999999999994</v>
      </c>
      <c r="N18" s="9"/>
      <c r="O18" s="9"/>
    </row>
    <row r="19" spans="1:15" x14ac:dyDescent="0.25">
      <c r="A19" s="1">
        <v>43264</v>
      </c>
      <c r="B19" s="2">
        <v>4</v>
      </c>
      <c r="C19" t="s">
        <v>1</v>
      </c>
      <c r="D19">
        <v>4</v>
      </c>
      <c r="E19" t="s">
        <v>7</v>
      </c>
      <c r="G19" s="6">
        <v>30</v>
      </c>
      <c r="H19" s="6">
        <v>4.2109999999999994</v>
      </c>
      <c r="I19" s="7">
        <v>0.28710000000000058</v>
      </c>
      <c r="J19" s="12">
        <f t="shared" si="0"/>
        <v>4.4981</v>
      </c>
      <c r="N19" s="9"/>
      <c r="O19" s="9"/>
    </row>
    <row r="20" spans="1:15" x14ac:dyDescent="0.25">
      <c r="A20" s="1">
        <v>43264</v>
      </c>
      <c r="B20" s="2">
        <v>5</v>
      </c>
      <c r="C20" t="s">
        <v>46</v>
      </c>
      <c r="D20">
        <v>4</v>
      </c>
      <c r="E20" t="s">
        <v>7</v>
      </c>
      <c r="G20" s="6">
        <v>30</v>
      </c>
      <c r="H20" s="6">
        <v>3.2352999999999996</v>
      </c>
      <c r="I20" s="6">
        <v>0.58030000000000115</v>
      </c>
      <c r="J20" s="12">
        <f t="shared" si="0"/>
        <v>3.8156000000000008</v>
      </c>
      <c r="K20" s="11"/>
      <c r="L20" s="11"/>
      <c r="M20" s="11"/>
      <c r="N20" s="9"/>
      <c r="O20" s="9"/>
    </row>
    <row r="21" spans="1:15" x14ac:dyDescent="0.25">
      <c r="A21" s="1">
        <v>43264</v>
      </c>
      <c r="B21" s="2">
        <v>6</v>
      </c>
      <c r="C21" t="s">
        <v>47</v>
      </c>
      <c r="D21">
        <v>4</v>
      </c>
      <c r="E21" t="s">
        <v>7</v>
      </c>
      <c r="G21" s="6">
        <v>30</v>
      </c>
      <c r="H21" s="6">
        <v>3.1165000000000003</v>
      </c>
      <c r="I21" s="6">
        <v>0.7524999999999995</v>
      </c>
      <c r="J21" s="12">
        <f t="shared" si="0"/>
        <v>3.8689999999999998</v>
      </c>
      <c r="N21" s="9"/>
      <c r="O21" s="9"/>
    </row>
    <row r="22" spans="1:15" x14ac:dyDescent="0.25">
      <c r="A22" s="1">
        <v>43293</v>
      </c>
      <c r="B22" s="2">
        <v>1</v>
      </c>
      <c r="C22" t="s">
        <v>48</v>
      </c>
      <c r="D22">
        <v>4</v>
      </c>
      <c r="E22" t="s">
        <v>49</v>
      </c>
      <c r="F22" s="6">
        <v>0.375</v>
      </c>
      <c r="J22" s="10">
        <v>4.2569999999999997</v>
      </c>
      <c r="N22" s="9"/>
      <c r="O22" s="9"/>
    </row>
    <row r="23" spans="1:15" x14ac:dyDescent="0.25">
      <c r="A23" s="1">
        <v>43298</v>
      </c>
      <c r="B23" s="2">
        <v>1</v>
      </c>
      <c r="C23" t="s">
        <v>50</v>
      </c>
      <c r="D23">
        <v>4</v>
      </c>
      <c r="E23" t="s">
        <v>49</v>
      </c>
      <c r="F23" s="6">
        <v>0.47</v>
      </c>
      <c r="J23" s="12">
        <f>7.4768-3.277</f>
        <v>4.1997999999999998</v>
      </c>
      <c r="K23" s="9">
        <v>0.02</v>
      </c>
      <c r="N23" s="9"/>
      <c r="O23" s="9"/>
    </row>
    <row r="24" spans="1:15" x14ac:dyDescent="0.25">
      <c r="A24" s="1">
        <v>43298</v>
      </c>
      <c r="B24" s="2">
        <v>2</v>
      </c>
      <c r="C24" t="s">
        <v>50</v>
      </c>
      <c r="D24">
        <v>4</v>
      </c>
      <c r="E24" t="s">
        <v>49</v>
      </c>
      <c r="F24" s="6">
        <v>0.47</v>
      </c>
      <c r="J24" s="12">
        <f>7.5523-3.2415</f>
        <v>4.3108000000000004</v>
      </c>
      <c r="K24" s="9">
        <v>1.9E-2</v>
      </c>
      <c r="N24" s="9"/>
      <c r="O24" s="9"/>
    </row>
    <row r="25" spans="1:15" x14ac:dyDescent="0.25">
      <c r="A25" s="1">
        <v>43298</v>
      </c>
      <c r="B25" s="2">
        <v>3</v>
      </c>
      <c r="C25" t="s">
        <v>50</v>
      </c>
      <c r="D25">
        <v>4</v>
      </c>
      <c r="E25" t="s">
        <v>49</v>
      </c>
      <c r="F25" s="6">
        <v>0.47</v>
      </c>
      <c r="J25" s="10">
        <f>7.551-3.211</f>
        <v>4.34</v>
      </c>
      <c r="K25" s="9">
        <v>0.03</v>
      </c>
      <c r="N25" s="9"/>
      <c r="O25" s="9"/>
    </row>
    <row r="26" spans="1:15" x14ac:dyDescent="0.25">
      <c r="A26" s="1">
        <v>43298</v>
      </c>
      <c r="B26" s="2">
        <v>4</v>
      </c>
      <c r="C26" t="s">
        <v>50</v>
      </c>
      <c r="D26">
        <v>4</v>
      </c>
      <c r="E26" t="s">
        <v>49</v>
      </c>
      <c r="F26" s="6">
        <v>0.47</v>
      </c>
      <c r="J26" s="10">
        <f>7.2486-3.2521</f>
        <v>3.9964999999999997</v>
      </c>
      <c r="K26" s="9">
        <v>2.5000000000000001E-2</v>
      </c>
      <c r="N26" s="9"/>
      <c r="O26" s="9"/>
    </row>
    <row r="27" spans="1:15" x14ac:dyDescent="0.25">
      <c r="A27" s="1">
        <v>43298</v>
      </c>
      <c r="B27" s="2">
        <v>6</v>
      </c>
      <c r="C27" t="s">
        <v>50</v>
      </c>
      <c r="D27">
        <v>4</v>
      </c>
      <c r="E27" t="s">
        <v>49</v>
      </c>
      <c r="F27" s="6">
        <v>0.47</v>
      </c>
      <c r="I27" s="7"/>
      <c r="J27" s="10">
        <f>7.2572-3.1967</f>
        <v>4.0605000000000002</v>
      </c>
      <c r="K27" s="9">
        <v>0.03</v>
      </c>
      <c r="N27" s="9"/>
      <c r="O27" s="9"/>
    </row>
    <row r="28" spans="1:15" x14ac:dyDescent="0.25">
      <c r="A28" s="1">
        <v>43298</v>
      </c>
      <c r="B28" s="2">
        <v>7</v>
      </c>
      <c r="C28" t="s">
        <v>50</v>
      </c>
      <c r="D28">
        <v>4</v>
      </c>
      <c r="E28" t="s">
        <v>49</v>
      </c>
      <c r="F28" s="6">
        <v>0.47</v>
      </c>
      <c r="J28" s="10">
        <f>7.1968-3.1967</f>
        <v>4.0000999999999998</v>
      </c>
      <c r="K28" s="9">
        <v>2.5000000000000001E-2</v>
      </c>
      <c r="N28" s="9"/>
      <c r="O28" s="9"/>
    </row>
    <row r="29" spans="1:15" x14ac:dyDescent="0.25">
      <c r="A29" s="1">
        <v>43305</v>
      </c>
      <c r="B29" s="2">
        <v>1</v>
      </c>
      <c r="C29" t="s">
        <v>48</v>
      </c>
      <c r="D29">
        <v>4</v>
      </c>
      <c r="E29" t="s">
        <v>7</v>
      </c>
      <c r="F29" s="6">
        <v>0.51700000000000002</v>
      </c>
      <c r="J29" s="10">
        <f>6.3862-3.1917</f>
        <v>3.1944999999999997</v>
      </c>
      <c r="K29" s="9">
        <v>0.03</v>
      </c>
      <c r="N29" s="9"/>
      <c r="O29" s="9"/>
    </row>
    <row r="30" spans="1:15" x14ac:dyDescent="0.25">
      <c r="A30" s="1">
        <v>43305</v>
      </c>
      <c r="B30" s="2">
        <v>2</v>
      </c>
      <c r="C30" t="s">
        <v>45</v>
      </c>
      <c r="D30">
        <v>4</v>
      </c>
      <c r="E30" t="s">
        <v>7</v>
      </c>
      <c r="F30" s="6">
        <v>0.51700000000000002</v>
      </c>
      <c r="J30" s="10">
        <f>6.6819-3.2412</f>
        <v>3.4406999999999996</v>
      </c>
      <c r="K30" s="9">
        <v>0.06</v>
      </c>
      <c r="N30" s="9"/>
      <c r="O30" s="9"/>
    </row>
    <row r="31" spans="1:15" x14ac:dyDescent="0.25">
      <c r="A31" s="1">
        <v>43305</v>
      </c>
      <c r="B31" s="2">
        <v>3</v>
      </c>
      <c r="C31" t="s">
        <v>48</v>
      </c>
      <c r="D31">
        <v>4</v>
      </c>
      <c r="E31" t="s">
        <v>7</v>
      </c>
      <c r="F31" s="6">
        <v>0.51700000000000002</v>
      </c>
      <c r="I31" s="6">
        <f>6.8216-3.2054</f>
        <v>3.6162000000000001</v>
      </c>
      <c r="J31" s="10">
        <f>6.1269-3.2054</f>
        <v>2.9215</v>
      </c>
      <c r="K31" s="9">
        <v>0.06</v>
      </c>
      <c r="N31" s="9"/>
      <c r="O31" s="9"/>
    </row>
    <row r="32" spans="1:15" x14ac:dyDescent="0.25">
      <c r="A32" s="1">
        <v>43305</v>
      </c>
      <c r="B32" s="2">
        <v>4</v>
      </c>
      <c r="C32" t="s">
        <v>48</v>
      </c>
      <c r="D32">
        <v>4</v>
      </c>
      <c r="E32" t="s">
        <v>7</v>
      </c>
      <c r="F32" s="6">
        <v>0.51700000000000002</v>
      </c>
      <c r="I32" s="6">
        <f>7.004-3.231</f>
        <v>3.7729999999999997</v>
      </c>
      <c r="J32" s="10">
        <f>6.1418-3.231</f>
        <v>2.9108000000000001</v>
      </c>
      <c r="K32" s="9">
        <v>9.5000000000000001E-2</v>
      </c>
      <c r="N32" s="9"/>
      <c r="O32" s="9"/>
    </row>
    <row r="33" spans="1:15" x14ac:dyDescent="0.25">
      <c r="A33" s="1">
        <v>43305</v>
      </c>
      <c r="B33" s="2">
        <v>5</v>
      </c>
      <c r="C33" t="s">
        <v>48</v>
      </c>
      <c r="D33">
        <v>4</v>
      </c>
      <c r="E33" t="s">
        <v>7</v>
      </c>
      <c r="F33" s="6">
        <v>0.51700000000000002</v>
      </c>
      <c r="J33" s="10">
        <f>6.844-3.254</f>
        <v>3.5900000000000003</v>
      </c>
      <c r="K33" s="9">
        <v>0.05</v>
      </c>
      <c r="N33" s="9"/>
      <c r="O33" s="9"/>
    </row>
    <row r="34" spans="1:15" x14ac:dyDescent="0.25">
      <c r="A34" s="1">
        <v>43305</v>
      </c>
      <c r="B34" s="2">
        <v>6</v>
      </c>
      <c r="C34" t="s">
        <v>44</v>
      </c>
      <c r="D34">
        <v>4</v>
      </c>
      <c r="E34" t="s">
        <v>7</v>
      </c>
      <c r="F34" s="6">
        <v>0.51700000000000002</v>
      </c>
      <c r="J34" s="10">
        <f>6.6718-3.2044</f>
        <v>3.4674</v>
      </c>
      <c r="K34" s="9">
        <v>7.0000000000000007E-2</v>
      </c>
      <c r="N34" s="9"/>
      <c r="O34" s="9"/>
    </row>
    <row r="35" spans="1:15" x14ac:dyDescent="0.25">
      <c r="A35" s="1">
        <v>43305</v>
      </c>
      <c r="B35" s="2">
        <v>7</v>
      </c>
      <c r="C35" t="s">
        <v>44</v>
      </c>
      <c r="D35">
        <v>4</v>
      </c>
      <c r="E35" t="s">
        <v>7</v>
      </c>
      <c r="F35" s="6">
        <v>0.51700000000000002</v>
      </c>
      <c r="J35" s="10">
        <f>7.505-3.2453</f>
        <v>4.2597000000000005</v>
      </c>
      <c r="K35" s="9">
        <v>0.123</v>
      </c>
      <c r="N35" s="9"/>
      <c r="O35" s="9"/>
    </row>
    <row r="36" spans="1:15" x14ac:dyDescent="0.25">
      <c r="A36" s="1">
        <v>43305</v>
      </c>
      <c r="B36" s="2">
        <v>8</v>
      </c>
      <c r="C36" t="s">
        <v>44</v>
      </c>
      <c r="D36">
        <v>4</v>
      </c>
      <c r="E36" t="s">
        <v>7</v>
      </c>
      <c r="F36" s="6">
        <v>0.51700000000000002</v>
      </c>
      <c r="J36" s="10">
        <f>7.2492-3.1983</f>
        <v>4.0509000000000004</v>
      </c>
      <c r="K36" s="9">
        <v>0.105</v>
      </c>
      <c r="N36" s="9"/>
      <c r="O36" s="9"/>
    </row>
    <row r="37" spans="1:15" x14ac:dyDescent="0.25">
      <c r="A37" s="1">
        <v>43307</v>
      </c>
      <c r="B37" s="2">
        <v>1</v>
      </c>
      <c r="C37" t="s">
        <v>45</v>
      </c>
      <c r="D37">
        <v>4</v>
      </c>
      <c r="E37" t="s">
        <v>7</v>
      </c>
      <c r="F37" s="6">
        <f>0.4925</f>
        <v>0.49249999999999999</v>
      </c>
      <c r="J37" s="10">
        <f>7.5334-3.2795</f>
        <v>4.2538999999999998</v>
      </c>
      <c r="K37" s="9">
        <v>9.5000000000000001E-2</v>
      </c>
      <c r="N37" s="9"/>
      <c r="O37" s="9"/>
    </row>
    <row r="38" spans="1:15" x14ac:dyDescent="0.25">
      <c r="A38" s="1">
        <v>43307</v>
      </c>
      <c r="B38" s="2">
        <v>2</v>
      </c>
      <c r="C38" t="s">
        <v>50</v>
      </c>
      <c r="D38">
        <v>4</v>
      </c>
      <c r="E38" t="s">
        <v>7</v>
      </c>
      <c r="F38" s="6">
        <f t="shared" ref="F38:F40" si="1">0.4925</f>
        <v>0.49249999999999999</v>
      </c>
      <c r="J38" s="10">
        <f>7.0615-3.1941</f>
        <v>3.8673999999999995</v>
      </c>
      <c r="K38" s="9">
        <v>4.2000000000000003E-2</v>
      </c>
      <c r="N38" s="9"/>
      <c r="O38" s="9"/>
    </row>
    <row r="39" spans="1:15" x14ac:dyDescent="0.25">
      <c r="A39" s="1">
        <v>43307</v>
      </c>
      <c r="B39" s="2">
        <v>3</v>
      </c>
      <c r="C39" t="s">
        <v>50</v>
      </c>
      <c r="D39">
        <v>4</v>
      </c>
      <c r="E39" t="s">
        <v>7</v>
      </c>
      <c r="F39" s="6">
        <f t="shared" si="1"/>
        <v>0.49249999999999999</v>
      </c>
      <c r="J39" s="10">
        <f>7.3025-3.2069</f>
        <v>4.0956000000000001</v>
      </c>
      <c r="K39" s="9">
        <v>0.06</v>
      </c>
      <c r="N39" s="9"/>
      <c r="O39" s="9"/>
    </row>
    <row r="40" spans="1:15" x14ac:dyDescent="0.25">
      <c r="A40" s="1">
        <v>43307</v>
      </c>
      <c r="B40" s="2">
        <v>4</v>
      </c>
      <c r="C40" t="s">
        <v>50</v>
      </c>
      <c r="D40">
        <v>4</v>
      </c>
      <c r="E40" t="s">
        <v>7</v>
      </c>
      <c r="F40" s="6">
        <f t="shared" si="1"/>
        <v>0.49249999999999999</v>
      </c>
      <c r="J40" s="10">
        <f>7.4356-3.2144</f>
        <v>4.2211999999999996</v>
      </c>
      <c r="K40" s="9">
        <v>5.5E-2</v>
      </c>
      <c r="N40" s="9"/>
      <c r="O40" s="9"/>
    </row>
    <row r="41" spans="1:15" x14ac:dyDescent="0.25">
      <c r="A41" s="1">
        <v>43312</v>
      </c>
      <c r="B41" s="2">
        <v>1</v>
      </c>
      <c r="C41" t="s">
        <v>51</v>
      </c>
      <c r="D41">
        <v>4</v>
      </c>
      <c r="E41" t="s">
        <v>7</v>
      </c>
      <c r="F41" s="6">
        <v>0.46250000000000002</v>
      </c>
      <c r="J41" s="10">
        <f>6.7777-3.218</f>
        <v>3.5597000000000003</v>
      </c>
      <c r="K41" s="9">
        <v>0</v>
      </c>
      <c r="N41" s="9"/>
      <c r="O41" s="9"/>
    </row>
    <row r="42" spans="1:15" x14ac:dyDescent="0.25">
      <c r="A42" s="1">
        <v>43312</v>
      </c>
      <c r="B42" s="2">
        <v>2</v>
      </c>
      <c r="C42" t="s">
        <v>51</v>
      </c>
      <c r="D42">
        <v>4</v>
      </c>
      <c r="E42" t="s">
        <v>7</v>
      </c>
      <c r="F42" s="6">
        <v>0.46250000000000002</v>
      </c>
      <c r="J42" s="10">
        <f>6.8167-3.2292</f>
        <v>3.5874999999999999</v>
      </c>
      <c r="K42" s="9">
        <v>1E-4</v>
      </c>
      <c r="N42" s="9"/>
      <c r="O42" s="9"/>
    </row>
    <row r="43" spans="1:15" x14ac:dyDescent="0.25">
      <c r="A43" s="1">
        <v>43312</v>
      </c>
      <c r="B43" s="2">
        <v>3</v>
      </c>
      <c r="C43" t="s">
        <v>51</v>
      </c>
      <c r="D43">
        <v>4</v>
      </c>
      <c r="E43" t="s">
        <v>7</v>
      </c>
      <c r="F43" s="6">
        <v>0.46250000000000002</v>
      </c>
      <c r="J43" s="10">
        <f>6.6962-3.1892</f>
        <v>3.5070000000000001</v>
      </c>
      <c r="K43" s="9">
        <v>0</v>
      </c>
      <c r="N43" s="9"/>
      <c r="O43" s="9"/>
    </row>
    <row r="44" spans="1:15" x14ac:dyDescent="0.25">
      <c r="A44" s="1">
        <v>43312</v>
      </c>
      <c r="B44" s="2">
        <v>4</v>
      </c>
      <c r="C44" t="s">
        <v>51</v>
      </c>
      <c r="D44">
        <v>4</v>
      </c>
      <c r="E44" t="s">
        <v>7</v>
      </c>
      <c r="F44" s="6">
        <v>0.46250000000000002</v>
      </c>
      <c r="J44" s="10">
        <f>6.5128-3.235</f>
        <v>3.2778000000000005</v>
      </c>
      <c r="K44" s="9">
        <v>0</v>
      </c>
      <c r="N44" s="9"/>
      <c r="O44" s="9"/>
    </row>
    <row r="45" spans="1:15" x14ac:dyDescent="0.25">
      <c r="A45" s="1">
        <v>43312</v>
      </c>
      <c r="B45" s="2">
        <v>5</v>
      </c>
      <c r="C45" t="s">
        <v>51</v>
      </c>
      <c r="D45">
        <v>4</v>
      </c>
      <c r="E45" t="s">
        <v>7</v>
      </c>
      <c r="F45" s="6">
        <v>0.46250000000000002</v>
      </c>
      <c r="J45" s="10">
        <f>6.7335-3.2202</f>
        <v>3.5133000000000001</v>
      </c>
      <c r="K45" s="9">
        <v>0</v>
      </c>
      <c r="N45" s="9"/>
      <c r="O45" s="9"/>
    </row>
    <row r="46" spans="1:15" x14ac:dyDescent="0.25">
      <c r="A46" s="1">
        <v>43312</v>
      </c>
      <c r="B46" s="2">
        <v>6</v>
      </c>
      <c r="C46" t="s">
        <v>51</v>
      </c>
      <c r="D46">
        <v>4</v>
      </c>
      <c r="E46" t="s">
        <v>7</v>
      </c>
      <c r="F46" s="6">
        <v>0.46250000000000002</v>
      </c>
      <c r="J46" s="10">
        <f>6.5671-3.2961</f>
        <v>3.2709999999999999</v>
      </c>
      <c r="K46" s="9">
        <v>0</v>
      </c>
      <c r="N46" s="9"/>
      <c r="O46" s="9"/>
    </row>
    <row r="47" spans="1:15" x14ac:dyDescent="0.25">
      <c r="A47" s="1">
        <v>43312</v>
      </c>
      <c r="B47" s="2">
        <v>7</v>
      </c>
      <c r="C47" t="s">
        <v>51</v>
      </c>
      <c r="D47">
        <v>4</v>
      </c>
      <c r="E47" t="s">
        <v>7</v>
      </c>
      <c r="F47" s="6">
        <v>0.46250000000000002</v>
      </c>
      <c r="J47" s="10">
        <f>6.6494-3.1486</f>
        <v>3.5007999999999999</v>
      </c>
      <c r="K47" s="9">
        <v>0</v>
      </c>
      <c r="N47" s="9"/>
      <c r="O47" s="9"/>
    </row>
    <row r="48" spans="1:15" x14ac:dyDescent="0.25">
      <c r="A48" s="1">
        <v>43314</v>
      </c>
      <c r="B48" s="2">
        <v>1</v>
      </c>
      <c r="C48" t="s">
        <v>58</v>
      </c>
      <c r="D48">
        <v>4</v>
      </c>
      <c r="E48" t="s">
        <v>7</v>
      </c>
      <c r="F48" s="6">
        <v>0.46375</v>
      </c>
      <c r="J48" s="10">
        <f>7.2298-3.2043</f>
        <v>4.0255000000000001</v>
      </c>
      <c r="K48" s="9">
        <v>8.0000000000000002E-3</v>
      </c>
      <c r="N48" s="9"/>
      <c r="O48" s="9"/>
    </row>
    <row r="49" spans="1:15" x14ac:dyDescent="0.25">
      <c r="A49" s="1">
        <v>43314</v>
      </c>
      <c r="B49" s="2">
        <v>2</v>
      </c>
      <c r="C49" t="s">
        <v>58</v>
      </c>
      <c r="D49">
        <v>4</v>
      </c>
      <c r="E49" t="s">
        <v>7</v>
      </c>
      <c r="F49" s="6">
        <v>0.46375</v>
      </c>
      <c r="J49" s="10">
        <f>7.3761-3.2445</f>
        <v>4.1316000000000006</v>
      </c>
      <c r="K49" s="9">
        <v>3.0000000000000001E-3</v>
      </c>
      <c r="N49" s="9"/>
      <c r="O49" s="9"/>
    </row>
    <row r="50" spans="1:15" x14ac:dyDescent="0.25">
      <c r="A50" s="1">
        <v>43314</v>
      </c>
      <c r="B50" s="2">
        <v>3</v>
      </c>
      <c r="C50" t="s">
        <v>58</v>
      </c>
      <c r="D50">
        <v>4</v>
      </c>
      <c r="E50" t="s">
        <v>7</v>
      </c>
      <c r="F50" s="6">
        <v>0.46375</v>
      </c>
      <c r="J50" s="10">
        <f>7.1177-3.258</f>
        <v>3.8597000000000001</v>
      </c>
      <c r="K50" s="9">
        <v>0</v>
      </c>
      <c r="N50" s="9"/>
      <c r="O50" s="9"/>
    </row>
    <row r="51" spans="1:15" x14ac:dyDescent="0.25">
      <c r="A51" s="1">
        <v>43314</v>
      </c>
      <c r="B51" s="2">
        <v>4</v>
      </c>
      <c r="C51" t="s">
        <v>58</v>
      </c>
      <c r="D51">
        <v>4</v>
      </c>
      <c r="E51" t="s">
        <v>7</v>
      </c>
      <c r="F51" s="6">
        <v>0.46375</v>
      </c>
      <c r="J51" s="10">
        <f>7.2292-3.2831</f>
        <v>3.9460999999999995</v>
      </c>
      <c r="K51" s="9">
        <v>0</v>
      </c>
      <c r="N51" s="9"/>
      <c r="O51" s="9"/>
    </row>
    <row r="52" spans="1:15" x14ac:dyDescent="0.25">
      <c r="A52" s="1">
        <v>43314</v>
      </c>
      <c r="B52" s="2">
        <v>5</v>
      </c>
      <c r="C52" t="s">
        <v>58</v>
      </c>
      <c r="D52">
        <v>4</v>
      </c>
      <c r="E52" t="s">
        <v>7</v>
      </c>
      <c r="F52" s="6">
        <v>0.46375</v>
      </c>
      <c r="J52" s="10">
        <f>6.9609-3.2199</f>
        <v>3.7409999999999997</v>
      </c>
      <c r="K52" s="9">
        <v>1E-3</v>
      </c>
      <c r="N52" s="9"/>
      <c r="O52" s="9"/>
    </row>
    <row r="53" spans="1:15" x14ac:dyDescent="0.25">
      <c r="A53" s="1">
        <v>43314</v>
      </c>
      <c r="B53" s="2">
        <v>6</v>
      </c>
      <c r="C53" t="s">
        <v>58</v>
      </c>
      <c r="D53">
        <v>4</v>
      </c>
      <c r="E53" t="s">
        <v>7</v>
      </c>
      <c r="F53" s="6">
        <v>0.46375</v>
      </c>
      <c r="J53" s="10">
        <f>7.019-3.1711</f>
        <v>3.8479000000000001</v>
      </c>
      <c r="K53" s="9">
        <v>5.0000000000000001E-3</v>
      </c>
      <c r="N53" s="9"/>
      <c r="O53" s="9"/>
    </row>
    <row r="54" spans="1:15" x14ac:dyDescent="0.25">
      <c r="A54" s="1">
        <v>43314</v>
      </c>
      <c r="B54" s="2">
        <v>7</v>
      </c>
      <c r="C54" t="s">
        <v>58</v>
      </c>
      <c r="D54">
        <v>4</v>
      </c>
      <c r="E54" t="s">
        <v>7</v>
      </c>
      <c r="F54" s="6">
        <v>0.46375</v>
      </c>
      <c r="J54" s="10">
        <f>7.0516-3.1937</f>
        <v>3.8578999999999994</v>
      </c>
      <c r="K54" s="9">
        <v>3.0000000000000001E-3</v>
      </c>
      <c r="N54" s="9"/>
      <c r="O54" s="9"/>
    </row>
    <row r="55" spans="1:15" x14ac:dyDescent="0.25">
      <c r="A55" s="1">
        <v>43314</v>
      </c>
      <c r="B55" s="2">
        <v>8</v>
      </c>
      <c r="C55" t="s">
        <v>58</v>
      </c>
      <c r="D55">
        <v>4</v>
      </c>
      <c r="E55" t="s">
        <v>7</v>
      </c>
      <c r="F55" s="6">
        <v>0.46375</v>
      </c>
      <c r="J55" s="10">
        <f>7.1378-3.2269</f>
        <v>3.9109000000000003</v>
      </c>
      <c r="K55" s="9">
        <v>0</v>
      </c>
      <c r="N55" s="9"/>
      <c r="O55" s="9"/>
    </row>
    <row r="56" spans="1:15" x14ac:dyDescent="0.25">
      <c r="A56" s="1">
        <v>43319</v>
      </c>
      <c r="B56" s="2">
        <v>1</v>
      </c>
      <c r="C56" t="s">
        <v>52</v>
      </c>
      <c r="D56">
        <v>4</v>
      </c>
      <c r="E56" t="s">
        <v>7</v>
      </c>
      <c r="F56" s="6">
        <v>0.52249999999999996</v>
      </c>
      <c r="J56" s="10">
        <f>6.6155-3.1977</f>
        <v>3.4177999999999997</v>
      </c>
      <c r="K56" s="9">
        <v>0.03</v>
      </c>
      <c r="N56" s="9"/>
      <c r="O56" s="9"/>
    </row>
    <row r="57" spans="1:15" x14ac:dyDescent="0.25">
      <c r="A57" s="1">
        <v>43319</v>
      </c>
      <c r="B57" s="2">
        <v>2</v>
      </c>
      <c r="C57" t="s">
        <v>52</v>
      </c>
      <c r="D57">
        <v>4</v>
      </c>
      <c r="E57" t="s">
        <v>7</v>
      </c>
      <c r="F57" s="6">
        <v>0.52249999999999996</v>
      </c>
      <c r="J57" s="10">
        <f>6.8444-3.2468</f>
        <v>3.5976000000000004</v>
      </c>
      <c r="K57" s="9">
        <v>1.4999999999999999E-2</v>
      </c>
      <c r="N57" s="9"/>
      <c r="O57" s="9"/>
    </row>
    <row r="58" spans="1:15" x14ac:dyDescent="0.25">
      <c r="A58" s="1">
        <v>43319</v>
      </c>
      <c r="B58" s="2">
        <v>3</v>
      </c>
      <c r="C58" t="s">
        <v>52</v>
      </c>
      <c r="D58">
        <v>4</v>
      </c>
      <c r="E58" t="s">
        <v>7</v>
      </c>
      <c r="F58" s="6">
        <v>0.52249999999999996</v>
      </c>
      <c r="J58" s="10">
        <f>6.7881-3.2176</f>
        <v>3.5705</v>
      </c>
      <c r="K58" s="9">
        <v>1.7000000000000001E-2</v>
      </c>
      <c r="N58" s="9"/>
      <c r="O58" s="9"/>
    </row>
    <row r="59" spans="1:15" x14ac:dyDescent="0.25">
      <c r="A59" s="1">
        <v>43319</v>
      </c>
      <c r="B59" s="2">
        <v>4</v>
      </c>
      <c r="C59" t="s">
        <v>52</v>
      </c>
      <c r="D59">
        <v>4</v>
      </c>
      <c r="E59" t="s">
        <v>7</v>
      </c>
      <c r="F59" s="6">
        <v>0.52249999999999996</v>
      </c>
      <c r="J59" s="10">
        <f>6.975-3.211</f>
        <v>3.7639999999999998</v>
      </c>
      <c r="K59" s="9">
        <v>2.1000000000000001E-2</v>
      </c>
      <c r="N59" s="9"/>
      <c r="O59" s="9"/>
    </row>
    <row r="60" spans="1:15" x14ac:dyDescent="0.25">
      <c r="A60" s="1">
        <v>43319</v>
      </c>
      <c r="B60" s="2">
        <v>5</v>
      </c>
      <c r="C60" t="s">
        <v>52</v>
      </c>
      <c r="D60">
        <v>4</v>
      </c>
      <c r="E60" t="s">
        <v>7</v>
      </c>
      <c r="F60" s="6">
        <v>0.52249999999999996</v>
      </c>
      <c r="J60" s="10">
        <f>6.7054-3.1923</f>
        <v>3.5131000000000001</v>
      </c>
      <c r="K60" s="9">
        <v>0.01</v>
      </c>
      <c r="N60" s="9"/>
      <c r="O60" s="9"/>
    </row>
    <row r="61" spans="1:15" x14ac:dyDescent="0.25">
      <c r="A61" s="1">
        <v>43319</v>
      </c>
      <c r="B61" s="2">
        <v>6</v>
      </c>
      <c r="C61" t="s">
        <v>52</v>
      </c>
      <c r="D61">
        <v>4</v>
      </c>
      <c r="E61" t="s">
        <v>7</v>
      </c>
      <c r="F61" s="6">
        <v>0.52249999999999996</v>
      </c>
      <c r="J61" s="10">
        <f>6.7717-3.271</f>
        <v>3.5007000000000001</v>
      </c>
      <c r="N61" s="9"/>
      <c r="O61" s="9"/>
    </row>
    <row r="62" spans="1:15" x14ac:dyDescent="0.25">
      <c r="A62" s="1">
        <v>43321</v>
      </c>
      <c r="B62" s="2">
        <v>1</v>
      </c>
      <c r="C62" t="s">
        <v>58</v>
      </c>
      <c r="D62">
        <v>4</v>
      </c>
      <c r="E62" t="s">
        <v>7</v>
      </c>
      <c r="F62" s="6">
        <v>0.52500000000000002</v>
      </c>
      <c r="G62" s="6">
        <v>180</v>
      </c>
      <c r="J62" s="10">
        <f>6.9936-3.2706</f>
        <v>3.7229999999999999</v>
      </c>
      <c r="K62" s="9">
        <v>0.03</v>
      </c>
      <c r="N62" s="9"/>
      <c r="O62" s="9"/>
    </row>
    <row r="63" spans="1:15" x14ac:dyDescent="0.25">
      <c r="A63" s="1">
        <v>43321</v>
      </c>
      <c r="B63" s="2">
        <v>2</v>
      </c>
      <c r="C63" t="s">
        <v>58</v>
      </c>
      <c r="D63">
        <v>4</v>
      </c>
      <c r="E63" t="s">
        <v>7</v>
      </c>
      <c r="F63" s="6">
        <v>0.52500000000000002</v>
      </c>
      <c r="G63" s="6">
        <v>180</v>
      </c>
      <c r="J63" s="10">
        <f>7.3133-3.277</f>
        <v>4.0362999999999998</v>
      </c>
      <c r="K63" s="9">
        <v>0.05</v>
      </c>
      <c r="N63" s="9"/>
      <c r="O63" s="9"/>
    </row>
    <row r="64" spans="1:15" x14ac:dyDescent="0.25">
      <c r="A64" s="1">
        <v>43321</v>
      </c>
      <c r="B64" s="2">
        <v>3</v>
      </c>
      <c r="C64" t="s">
        <v>58</v>
      </c>
      <c r="D64">
        <v>4</v>
      </c>
      <c r="E64" t="s">
        <v>7</v>
      </c>
      <c r="F64" s="6">
        <v>0.60250000000000004</v>
      </c>
      <c r="G64" s="6">
        <v>180</v>
      </c>
      <c r="J64" s="10">
        <f>6.8363-3.216</f>
        <v>3.6202999999999994</v>
      </c>
      <c r="K64" s="9">
        <v>0.155</v>
      </c>
      <c r="N64" s="9"/>
      <c r="O64" s="9"/>
    </row>
    <row r="65" spans="1:15" x14ac:dyDescent="0.25">
      <c r="A65" s="1">
        <v>43321</v>
      </c>
      <c r="B65" s="2">
        <v>4</v>
      </c>
      <c r="C65" t="s">
        <v>58</v>
      </c>
      <c r="D65">
        <v>4</v>
      </c>
      <c r="E65" t="s">
        <v>7</v>
      </c>
      <c r="F65" s="6">
        <v>0.6</v>
      </c>
      <c r="G65" s="6">
        <v>180</v>
      </c>
      <c r="J65" s="10">
        <f>6.8964-3.2236</f>
        <v>3.6728000000000001</v>
      </c>
      <c r="K65" s="9">
        <v>0.16300000000000001</v>
      </c>
      <c r="N65" s="9"/>
      <c r="O65" s="9"/>
    </row>
    <row r="66" spans="1:15" x14ac:dyDescent="0.25">
      <c r="A66" s="1">
        <v>43321</v>
      </c>
      <c r="B66" s="2">
        <v>5</v>
      </c>
      <c r="C66" t="s">
        <v>58</v>
      </c>
      <c r="D66">
        <v>4</v>
      </c>
      <c r="E66" t="s">
        <v>7</v>
      </c>
      <c r="F66" s="6">
        <v>0.56499999999999995</v>
      </c>
      <c r="G66" s="6">
        <v>180</v>
      </c>
      <c r="J66" s="10">
        <f>7.1059-3.2819</f>
        <v>3.8240000000000003</v>
      </c>
      <c r="K66" s="9">
        <v>0.1</v>
      </c>
      <c r="N66" s="9"/>
      <c r="O66" s="9"/>
    </row>
    <row r="67" spans="1:15" x14ac:dyDescent="0.25">
      <c r="A67" s="1">
        <v>43321</v>
      </c>
      <c r="B67" s="2">
        <v>6</v>
      </c>
      <c r="C67" t="s">
        <v>58</v>
      </c>
      <c r="D67">
        <v>4</v>
      </c>
      <c r="E67" t="s">
        <v>7</v>
      </c>
      <c r="F67" s="6">
        <v>0.56000000000000005</v>
      </c>
      <c r="G67" s="6">
        <v>180</v>
      </c>
      <c r="J67" s="10">
        <f>7.0064-3.2121</f>
        <v>3.7943000000000002</v>
      </c>
      <c r="K67" s="9">
        <v>0.1</v>
      </c>
      <c r="N67" s="9"/>
      <c r="O67" s="9"/>
    </row>
    <row r="68" spans="1:15" x14ac:dyDescent="0.25">
      <c r="A68" s="1">
        <v>43321</v>
      </c>
      <c r="B68" s="2">
        <v>7</v>
      </c>
      <c r="C68" t="s">
        <v>58</v>
      </c>
      <c r="D68">
        <v>4</v>
      </c>
      <c r="E68" t="s">
        <v>7</v>
      </c>
      <c r="F68" s="6">
        <v>0.42499999999999999</v>
      </c>
      <c r="G68" s="6">
        <v>180</v>
      </c>
      <c r="J68" s="10">
        <f>7.162-3.2001</f>
        <v>3.9619</v>
      </c>
      <c r="K68" s="9">
        <v>0</v>
      </c>
      <c r="N68" s="9"/>
      <c r="O68" s="9"/>
    </row>
    <row r="69" spans="1:15" x14ac:dyDescent="0.25">
      <c r="A69" s="1">
        <v>43326</v>
      </c>
      <c r="B69" s="2">
        <v>1</v>
      </c>
      <c r="C69" t="s">
        <v>58</v>
      </c>
      <c r="D69">
        <v>4</v>
      </c>
      <c r="E69" t="s">
        <v>7</v>
      </c>
      <c r="F69" s="6">
        <v>0.505</v>
      </c>
      <c r="G69" s="6">
        <v>180</v>
      </c>
      <c r="J69" s="10">
        <f>6.8855-3.214</f>
        <v>3.6715000000000004</v>
      </c>
      <c r="K69" s="9">
        <v>2.8000000000000001E-2</v>
      </c>
      <c r="N69" s="9"/>
      <c r="O69" s="9"/>
    </row>
    <row r="70" spans="1:15" x14ac:dyDescent="0.25">
      <c r="A70" s="1">
        <v>43326</v>
      </c>
      <c r="B70" s="2">
        <v>2</v>
      </c>
      <c r="C70" t="s">
        <v>58</v>
      </c>
      <c r="D70">
        <v>4</v>
      </c>
      <c r="E70" t="s">
        <v>7</v>
      </c>
      <c r="F70" s="6">
        <v>0.505</v>
      </c>
      <c r="G70" s="6">
        <v>180</v>
      </c>
      <c r="J70" s="10">
        <f>6.9765-3.2169</f>
        <v>3.7595999999999998</v>
      </c>
      <c r="K70" s="9">
        <v>3.6999999999999998E-2</v>
      </c>
      <c r="N70" s="9"/>
      <c r="O70" s="9"/>
    </row>
    <row r="71" spans="1:15" x14ac:dyDescent="0.25">
      <c r="A71" s="1">
        <v>43326</v>
      </c>
      <c r="B71" s="2">
        <v>3</v>
      </c>
      <c r="C71" t="s">
        <v>58</v>
      </c>
      <c r="D71">
        <v>4</v>
      </c>
      <c r="E71" t="s">
        <v>7</v>
      </c>
      <c r="F71" s="6">
        <v>0.505</v>
      </c>
      <c r="G71" s="6">
        <v>180</v>
      </c>
      <c r="J71" s="10">
        <f>7.0388-3.2793</f>
        <v>3.7595000000000001</v>
      </c>
      <c r="K71" s="9">
        <v>1.6E-2</v>
      </c>
      <c r="N71" s="9"/>
      <c r="O71" s="9"/>
    </row>
    <row r="72" spans="1:15" x14ac:dyDescent="0.25">
      <c r="A72" s="1">
        <v>43326</v>
      </c>
      <c r="B72" s="2">
        <v>4</v>
      </c>
      <c r="C72" t="s">
        <v>58</v>
      </c>
      <c r="D72">
        <v>4</v>
      </c>
      <c r="E72" t="s">
        <v>7</v>
      </c>
      <c r="F72" s="6">
        <v>0.438</v>
      </c>
      <c r="G72" s="6">
        <v>180</v>
      </c>
      <c r="J72" s="10">
        <f>7.2754-3.2405</f>
        <v>4.0349000000000004</v>
      </c>
      <c r="K72" s="9">
        <v>0</v>
      </c>
      <c r="N72" s="9"/>
      <c r="O72" s="9"/>
    </row>
    <row r="73" spans="1:15" x14ac:dyDescent="0.25">
      <c r="A73" s="1">
        <v>43326</v>
      </c>
      <c r="B73" s="2">
        <v>5</v>
      </c>
      <c r="C73" t="s">
        <v>58</v>
      </c>
      <c r="D73">
        <v>4</v>
      </c>
      <c r="E73" t="s">
        <v>7</v>
      </c>
      <c r="F73" s="6">
        <v>0.56999999999999995</v>
      </c>
      <c r="G73" s="6">
        <v>180</v>
      </c>
      <c r="J73" s="10">
        <f>6.966-3.2133</f>
        <v>3.7527000000000004</v>
      </c>
      <c r="K73" s="9">
        <f>0.6/4.88</f>
        <v>0.12295081967213115</v>
      </c>
      <c r="N73" s="9"/>
      <c r="O73" s="9"/>
    </row>
    <row r="74" spans="1:15" x14ac:dyDescent="0.25">
      <c r="A74" s="1">
        <v>43326</v>
      </c>
      <c r="B74" s="2">
        <v>6</v>
      </c>
      <c r="C74" t="s">
        <v>58</v>
      </c>
      <c r="D74">
        <v>4</v>
      </c>
      <c r="E74" t="s">
        <v>7</v>
      </c>
      <c r="F74" s="6">
        <v>0.56499999999999995</v>
      </c>
      <c r="G74" s="6">
        <v>180</v>
      </c>
      <c r="J74" s="10">
        <f>7.1271-3.2539</f>
        <v>3.8732000000000006</v>
      </c>
      <c r="N74" s="9"/>
      <c r="O74" s="9"/>
    </row>
    <row r="75" spans="1:15" x14ac:dyDescent="0.25">
      <c r="A75" s="1">
        <v>43326</v>
      </c>
      <c r="B75" s="2">
        <v>7</v>
      </c>
      <c r="C75" t="s">
        <v>58</v>
      </c>
      <c r="D75">
        <v>4</v>
      </c>
      <c r="E75" t="s">
        <v>7</v>
      </c>
      <c r="F75" s="6">
        <v>0.42</v>
      </c>
      <c r="G75" s="6">
        <v>180</v>
      </c>
      <c r="J75" s="10">
        <f>7.1299-3.1727</f>
        <v>3.9572000000000003</v>
      </c>
      <c r="K75" s="9">
        <v>0</v>
      </c>
      <c r="N75" s="9"/>
      <c r="O75" s="9"/>
    </row>
    <row r="76" spans="1:15" x14ac:dyDescent="0.25">
      <c r="A76" s="1">
        <v>43328</v>
      </c>
      <c r="B76" s="2">
        <v>1</v>
      </c>
      <c r="C76" t="s">
        <v>53</v>
      </c>
      <c r="D76">
        <v>3</v>
      </c>
      <c r="E76" t="s">
        <v>7</v>
      </c>
      <c r="F76" s="6">
        <v>0.55000000000000004</v>
      </c>
      <c r="G76" s="6">
        <v>180</v>
      </c>
      <c r="J76" s="10">
        <f>6.8743-3.2022</f>
        <v>3.6720999999999999</v>
      </c>
      <c r="K76" s="9">
        <v>0.155</v>
      </c>
      <c r="N76" s="9"/>
      <c r="O76" s="9"/>
    </row>
    <row r="77" spans="1:15" x14ac:dyDescent="0.25">
      <c r="A77" s="1">
        <v>43328</v>
      </c>
      <c r="B77" s="2">
        <v>4</v>
      </c>
      <c r="C77" t="s">
        <v>54</v>
      </c>
      <c r="D77">
        <v>5</v>
      </c>
      <c r="E77" t="s">
        <v>7</v>
      </c>
      <c r="F77" s="6">
        <v>0.65200000000000002</v>
      </c>
      <c r="G77" s="6">
        <v>180</v>
      </c>
      <c r="J77" s="10">
        <f>7.4326-3.2338</f>
        <v>4.1988000000000003</v>
      </c>
      <c r="K77" s="9">
        <v>0.19500000000000001</v>
      </c>
      <c r="N77" s="9"/>
      <c r="O77" s="9"/>
    </row>
    <row r="78" spans="1:15" x14ac:dyDescent="0.25">
      <c r="A78" s="1">
        <v>43328</v>
      </c>
      <c r="B78" s="2">
        <v>5</v>
      </c>
      <c r="C78" t="s">
        <v>54</v>
      </c>
      <c r="D78">
        <v>5</v>
      </c>
      <c r="E78" t="s">
        <v>7</v>
      </c>
      <c r="F78" s="6">
        <v>0.63</v>
      </c>
      <c r="G78" s="6">
        <v>180</v>
      </c>
      <c r="J78" s="10">
        <f>7.2638-3.2347</f>
        <v>4.0290999999999997</v>
      </c>
      <c r="K78" s="9">
        <v>0.15</v>
      </c>
      <c r="N78" s="9"/>
      <c r="O78" s="9"/>
    </row>
    <row r="79" spans="1:15" x14ac:dyDescent="0.25">
      <c r="A79" s="1">
        <v>43328</v>
      </c>
      <c r="B79" s="2">
        <v>1</v>
      </c>
      <c r="C79" t="s">
        <v>54</v>
      </c>
      <c r="D79">
        <v>5</v>
      </c>
      <c r="E79" t="s">
        <v>7</v>
      </c>
      <c r="F79" s="6">
        <v>0.46</v>
      </c>
      <c r="G79" s="6">
        <v>180</v>
      </c>
      <c r="J79" s="10">
        <f>6.9352-3.1927</f>
        <v>3.7425000000000002</v>
      </c>
      <c r="K79" s="9">
        <v>0</v>
      </c>
      <c r="N79" s="9"/>
      <c r="O79" s="9"/>
    </row>
    <row r="80" spans="1:15" x14ac:dyDescent="0.25">
      <c r="A80" s="1">
        <v>43328</v>
      </c>
      <c r="B80" s="2">
        <v>2</v>
      </c>
      <c r="C80" t="s">
        <v>53</v>
      </c>
      <c r="D80">
        <v>3</v>
      </c>
      <c r="E80" t="s">
        <v>7</v>
      </c>
      <c r="F80" s="6">
        <v>0.46</v>
      </c>
      <c r="G80" s="6">
        <v>180</v>
      </c>
      <c r="J80" s="10">
        <f>6.6228-3.1679</f>
        <v>3.4548999999999999</v>
      </c>
      <c r="K80" s="9">
        <v>0.01</v>
      </c>
      <c r="N80" s="9"/>
      <c r="O80" s="9"/>
    </row>
    <row r="81" spans="1:16" x14ac:dyDescent="0.25">
      <c r="A81" s="1">
        <v>43328</v>
      </c>
      <c r="B81" s="2">
        <v>3</v>
      </c>
      <c r="C81" t="s">
        <v>53</v>
      </c>
      <c r="D81">
        <v>3</v>
      </c>
      <c r="E81" t="s">
        <v>7</v>
      </c>
      <c r="F81" s="6">
        <v>0.46</v>
      </c>
      <c r="G81" s="6">
        <v>180</v>
      </c>
      <c r="J81" s="10">
        <f>6.72-3.2171</f>
        <v>3.5028999999999999</v>
      </c>
      <c r="K81" s="9">
        <v>1.7999999999999999E-2</v>
      </c>
      <c r="N81" s="9"/>
      <c r="O81" s="9"/>
    </row>
    <row r="82" spans="1:16" x14ac:dyDescent="0.25">
      <c r="A82" s="1">
        <v>43328</v>
      </c>
      <c r="B82" s="2">
        <v>4</v>
      </c>
      <c r="C82" t="s">
        <v>53</v>
      </c>
      <c r="D82">
        <v>3</v>
      </c>
      <c r="E82" t="s">
        <v>7</v>
      </c>
      <c r="F82" s="6">
        <v>0.47299999999999998</v>
      </c>
      <c r="G82" s="6">
        <v>180</v>
      </c>
      <c r="J82" s="10">
        <f>6.7583-3.2045</f>
        <v>3.5538000000000003</v>
      </c>
      <c r="K82" s="9">
        <v>0.04</v>
      </c>
      <c r="N82" s="9"/>
      <c r="O82" s="9"/>
    </row>
    <row r="83" spans="1:16" x14ac:dyDescent="0.25">
      <c r="A83" s="1">
        <v>43328</v>
      </c>
      <c r="B83" s="2">
        <v>5</v>
      </c>
      <c r="C83" t="s">
        <v>53</v>
      </c>
      <c r="D83">
        <v>3</v>
      </c>
      <c r="E83" t="s">
        <v>7</v>
      </c>
      <c r="F83" s="6">
        <v>0.52200000000000002</v>
      </c>
      <c r="G83" s="6">
        <v>180</v>
      </c>
      <c r="J83" s="10">
        <f>6.7583-3.2045</f>
        <v>3.5538000000000003</v>
      </c>
      <c r="K83" s="9">
        <v>0.105</v>
      </c>
      <c r="N83" s="9"/>
      <c r="O83" s="9"/>
    </row>
    <row r="84" spans="1:16" x14ac:dyDescent="0.25">
      <c r="A84" s="1">
        <v>43328</v>
      </c>
      <c r="B84" s="2">
        <v>6</v>
      </c>
      <c r="C84" t="s">
        <v>53</v>
      </c>
      <c r="D84">
        <v>3</v>
      </c>
      <c r="E84" t="s">
        <v>7</v>
      </c>
      <c r="F84" s="6">
        <v>0.52500000000000002</v>
      </c>
      <c r="G84" s="6">
        <v>180</v>
      </c>
      <c r="J84" s="10">
        <f>6.7735-3.2398</f>
        <v>3.5337000000000005</v>
      </c>
      <c r="K84" s="9">
        <v>9.2999999999999999E-2</v>
      </c>
      <c r="N84" s="9"/>
      <c r="O84" s="9"/>
    </row>
    <row r="85" spans="1:16" x14ac:dyDescent="0.25">
      <c r="A85" s="1">
        <v>43328</v>
      </c>
      <c r="B85" s="2">
        <v>7</v>
      </c>
      <c r="C85" t="s">
        <v>53</v>
      </c>
      <c r="D85">
        <v>3</v>
      </c>
      <c r="E85" t="s">
        <v>7</v>
      </c>
      <c r="G85" s="6">
        <v>180</v>
      </c>
      <c r="J85" s="10">
        <f>6.6453-3.2009</f>
        <v>3.4443999999999999</v>
      </c>
      <c r="K85" s="9">
        <v>0.23</v>
      </c>
      <c r="N85" s="9"/>
      <c r="O85" s="9"/>
    </row>
    <row r="86" spans="1:16" x14ac:dyDescent="0.25">
      <c r="A86" s="1">
        <v>43333</v>
      </c>
      <c r="B86" s="2">
        <v>1</v>
      </c>
      <c r="C86" t="s">
        <v>54</v>
      </c>
      <c r="D86">
        <v>5</v>
      </c>
      <c r="E86" t="s">
        <v>7</v>
      </c>
      <c r="F86" s="6">
        <v>0.502</v>
      </c>
      <c r="G86" s="6">
        <v>180</v>
      </c>
      <c r="J86" s="10">
        <v>3.8309000000000002</v>
      </c>
      <c r="K86" s="9">
        <v>1E-3</v>
      </c>
      <c r="N86" s="10">
        <v>4.8050000000000068</v>
      </c>
      <c r="O86" s="10">
        <v>0.19230000000000302</v>
      </c>
      <c r="P86" s="10">
        <f>N86-O86</f>
        <v>4.6127000000000038</v>
      </c>
    </row>
    <row r="87" spans="1:16" x14ac:dyDescent="0.25">
      <c r="A87" s="1">
        <v>43333</v>
      </c>
      <c r="B87" s="2">
        <v>2</v>
      </c>
      <c r="C87" t="s">
        <v>54</v>
      </c>
      <c r="D87">
        <v>5</v>
      </c>
      <c r="E87" t="s">
        <v>7</v>
      </c>
      <c r="F87" s="6">
        <v>0.55400000000000005</v>
      </c>
      <c r="G87" s="6">
        <v>180</v>
      </c>
      <c r="J87" s="10">
        <v>3.9666000000000001</v>
      </c>
      <c r="K87" s="9">
        <v>7.1999999999999995E-2</v>
      </c>
      <c r="N87" s="10">
        <v>4.9771000000000072</v>
      </c>
      <c r="O87" s="10">
        <v>0.39730000000000132</v>
      </c>
      <c r="P87" s="10">
        <f t="shared" ref="P87:P104" si="2">N87-O87</f>
        <v>4.5798000000000059</v>
      </c>
    </row>
    <row r="88" spans="1:16" x14ac:dyDescent="0.25">
      <c r="A88" s="1">
        <v>43333</v>
      </c>
      <c r="B88" s="2">
        <v>3</v>
      </c>
      <c r="C88" t="s">
        <v>54</v>
      </c>
      <c r="D88">
        <v>5</v>
      </c>
      <c r="E88" t="s">
        <v>7</v>
      </c>
      <c r="F88" s="6">
        <v>0.56999999999999995</v>
      </c>
      <c r="G88" s="6">
        <v>180</v>
      </c>
      <c r="J88" s="10">
        <v>4.1524000000000001</v>
      </c>
      <c r="K88" s="9">
        <v>9.1999999999999998E-2</v>
      </c>
      <c r="N88" s="10">
        <v>4.9440000000000026</v>
      </c>
      <c r="O88" s="10">
        <v>0.27400000000000091</v>
      </c>
      <c r="P88" s="10">
        <f t="shared" si="2"/>
        <v>4.6700000000000017</v>
      </c>
    </row>
    <row r="89" spans="1:16" x14ac:dyDescent="0.25">
      <c r="A89" s="1">
        <v>43333</v>
      </c>
      <c r="B89" s="2">
        <v>4</v>
      </c>
      <c r="C89" t="s">
        <v>54</v>
      </c>
      <c r="D89">
        <v>5</v>
      </c>
      <c r="E89" t="s">
        <v>7</v>
      </c>
      <c r="F89" s="6">
        <v>0.60099999999999998</v>
      </c>
      <c r="G89" s="6">
        <v>180</v>
      </c>
      <c r="J89" s="10">
        <v>4.2434000000000003</v>
      </c>
      <c r="K89" s="9">
        <v>0.13300000000000001</v>
      </c>
      <c r="N89" s="10">
        <v>4.8910000000000053</v>
      </c>
      <c r="O89" s="10">
        <v>0.18160000000000309</v>
      </c>
      <c r="P89" s="10">
        <f t="shared" si="2"/>
        <v>4.7094000000000023</v>
      </c>
    </row>
    <row r="90" spans="1:16" x14ac:dyDescent="0.25">
      <c r="A90" s="1">
        <v>43333</v>
      </c>
      <c r="B90" s="2">
        <v>5</v>
      </c>
      <c r="C90" t="s">
        <v>54</v>
      </c>
      <c r="D90">
        <v>5</v>
      </c>
      <c r="E90" t="s">
        <v>7</v>
      </c>
      <c r="F90" s="6">
        <v>0.60799999999999998</v>
      </c>
      <c r="G90" s="6">
        <v>180</v>
      </c>
      <c r="J90" s="10">
        <v>4.1429999999999998</v>
      </c>
      <c r="K90" s="9">
        <v>0.14099999999999999</v>
      </c>
      <c r="N90" s="10">
        <v>4.9699999999999989</v>
      </c>
      <c r="O90" s="10">
        <v>0.33789999999999054</v>
      </c>
      <c r="P90" s="10">
        <f t="shared" si="2"/>
        <v>4.6321000000000083</v>
      </c>
    </row>
    <row r="91" spans="1:16" x14ac:dyDescent="0.25">
      <c r="A91" s="1">
        <v>43333</v>
      </c>
      <c r="B91" s="2">
        <v>6</v>
      </c>
      <c r="C91" t="s">
        <v>54</v>
      </c>
      <c r="D91">
        <v>5</v>
      </c>
      <c r="E91" t="s">
        <v>7</v>
      </c>
      <c r="F91" s="6">
        <v>0.52400000000000002</v>
      </c>
      <c r="G91" s="6">
        <v>180</v>
      </c>
      <c r="J91" s="10">
        <v>4.2027999999999999</v>
      </c>
      <c r="K91" s="9">
        <v>2.5999999999999999E-2</v>
      </c>
      <c r="N91" s="10">
        <v>4.9440000000000026</v>
      </c>
      <c r="P91" s="10"/>
    </row>
    <row r="92" spans="1:16" x14ac:dyDescent="0.25">
      <c r="A92" s="1">
        <v>43334</v>
      </c>
      <c r="B92" s="2">
        <v>1</v>
      </c>
      <c r="C92" t="s">
        <v>58</v>
      </c>
      <c r="D92">
        <v>4</v>
      </c>
      <c r="E92" t="s">
        <v>7</v>
      </c>
      <c r="F92" s="6">
        <v>0.48</v>
      </c>
      <c r="G92" s="6">
        <v>30</v>
      </c>
      <c r="J92" s="10">
        <v>3.6593</v>
      </c>
      <c r="K92" s="9">
        <v>0</v>
      </c>
      <c r="P92" s="10"/>
    </row>
    <row r="93" spans="1:16" x14ac:dyDescent="0.25">
      <c r="A93" s="1">
        <v>43334</v>
      </c>
      <c r="B93" s="2">
        <v>2</v>
      </c>
      <c r="C93" t="s">
        <v>58</v>
      </c>
      <c r="D93">
        <v>4</v>
      </c>
      <c r="E93" t="s">
        <v>7</v>
      </c>
      <c r="F93" s="6">
        <v>0.48</v>
      </c>
      <c r="G93" s="6">
        <v>30</v>
      </c>
      <c r="J93" s="10">
        <v>3.5756999999999999</v>
      </c>
      <c r="K93" s="9">
        <v>1E-3</v>
      </c>
      <c r="N93" s="10">
        <v>5.0288000000000039</v>
      </c>
      <c r="O93" s="10">
        <v>0.56930000000001257</v>
      </c>
      <c r="P93" s="10">
        <f t="shared" si="2"/>
        <v>4.4594999999999914</v>
      </c>
    </row>
    <row r="94" spans="1:16" x14ac:dyDescent="0.25">
      <c r="A94" s="1">
        <v>43334</v>
      </c>
      <c r="B94" s="2">
        <v>3</v>
      </c>
      <c r="C94" t="s">
        <v>58</v>
      </c>
      <c r="D94">
        <v>4</v>
      </c>
      <c r="E94" t="s">
        <v>7</v>
      </c>
      <c r="F94" s="6">
        <v>0.48</v>
      </c>
      <c r="G94" s="6">
        <v>0</v>
      </c>
      <c r="J94" s="10">
        <v>3.7069999999999999</v>
      </c>
      <c r="K94" s="9">
        <v>1E-3</v>
      </c>
      <c r="N94" s="10">
        <v>4.8084999999999951</v>
      </c>
      <c r="O94" s="10">
        <v>0.42539999999999623</v>
      </c>
      <c r="P94" s="10">
        <f t="shared" si="2"/>
        <v>4.3830999999999989</v>
      </c>
    </row>
    <row r="95" spans="1:16" x14ac:dyDescent="0.25">
      <c r="A95" s="1">
        <v>43334</v>
      </c>
      <c r="B95" s="2">
        <v>4</v>
      </c>
      <c r="C95" t="s">
        <v>58</v>
      </c>
      <c r="D95">
        <v>4</v>
      </c>
      <c r="E95" t="s">
        <v>7</v>
      </c>
      <c r="F95" s="6">
        <v>0.48</v>
      </c>
      <c r="G95" s="6">
        <v>60</v>
      </c>
      <c r="J95" s="10">
        <v>3.8822000000000001</v>
      </c>
      <c r="K95" s="9">
        <v>0.01</v>
      </c>
      <c r="N95" s="10">
        <v>4.7087999999999965</v>
      </c>
      <c r="O95" s="10">
        <v>0.30830000000000268</v>
      </c>
      <c r="P95" s="10">
        <f t="shared" si="2"/>
        <v>4.4004999999999939</v>
      </c>
    </row>
    <row r="96" spans="1:16" x14ac:dyDescent="0.25">
      <c r="A96" s="1">
        <v>43334</v>
      </c>
      <c r="B96" s="2">
        <v>5</v>
      </c>
      <c r="C96" t="s">
        <v>58</v>
      </c>
      <c r="D96">
        <v>4</v>
      </c>
      <c r="E96" t="s">
        <v>7</v>
      </c>
      <c r="F96" s="6">
        <v>0.48</v>
      </c>
      <c r="G96" s="6">
        <v>60</v>
      </c>
      <c r="J96" s="10">
        <v>3.8551000000000002</v>
      </c>
      <c r="K96" s="9">
        <v>3.0000000000000001E-3</v>
      </c>
      <c r="N96" s="10">
        <v>4.7257000000000033</v>
      </c>
      <c r="O96" s="10">
        <v>0.36320000000000618</v>
      </c>
      <c r="P96" s="10">
        <f t="shared" si="2"/>
        <v>4.3624999999999972</v>
      </c>
    </row>
    <row r="97" spans="1:18" x14ac:dyDescent="0.25">
      <c r="A97" s="1">
        <v>43334</v>
      </c>
      <c r="B97" s="2">
        <v>6</v>
      </c>
      <c r="C97" t="s">
        <v>58</v>
      </c>
      <c r="D97">
        <v>4</v>
      </c>
      <c r="E97" t="s">
        <v>7</v>
      </c>
      <c r="F97" s="6">
        <v>0.48</v>
      </c>
      <c r="G97" s="6">
        <v>0</v>
      </c>
      <c r="J97" s="10">
        <v>3.8403999999999998</v>
      </c>
      <c r="K97" s="9">
        <v>1E-3</v>
      </c>
      <c r="N97" s="10">
        <v>4.730400000000003</v>
      </c>
      <c r="O97" s="10">
        <v>0.42330000000001178</v>
      </c>
      <c r="P97" s="10">
        <f t="shared" si="2"/>
        <v>4.3070999999999913</v>
      </c>
    </row>
    <row r="98" spans="1:18" x14ac:dyDescent="0.25">
      <c r="A98" s="1">
        <v>43340</v>
      </c>
      <c r="B98" s="2">
        <v>1</v>
      </c>
      <c r="C98" t="s">
        <v>58</v>
      </c>
      <c r="D98">
        <v>4</v>
      </c>
      <c r="E98" t="s">
        <v>7</v>
      </c>
      <c r="F98" s="6">
        <v>0.55000000000000004</v>
      </c>
      <c r="G98" s="6">
        <v>30</v>
      </c>
      <c r="J98" s="10">
        <v>3.3854000000000002</v>
      </c>
      <c r="K98" s="9">
        <v>7.0000000000000007E-2</v>
      </c>
      <c r="M98" s="9">
        <v>0.84</v>
      </c>
      <c r="N98" s="10">
        <v>4.7156999999999982</v>
      </c>
      <c r="O98" s="10">
        <v>0.28279999999999461</v>
      </c>
      <c r="P98" s="10">
        <f t="shared" si="2"/>
        <v>4.4329000000000036</v>
      </c>
    </row>
    <row r="99" spans="1:18" x14ac:dyDescent="0.25">
      <c r="A99" s="1">
        <v>43340</v>
      </c>
      <c r="B99" s="2">
        <v>2</v>
      </c>
      <c r="C99" t="s">
        <v>58</v>
      </c>
      <c r="D99">
        <v>4</v>
      </c>
      <c r="E99" t="s">
        <v>7</v>
      </c>
      <c r="F99" s="6">
        <v>0.55000000000000004</v>
      </c>
      <c r="G99" s="6">
        <v>60</v>
      </c>
      <c r="J99" s="10">
        <v>3.7955999999999999</v>
      </c>
      <c r="K99" s="9">
        <v>8.3000000000000004E-2</v>
      </c>
      <c r="M99" s="9">
        <v>0.86</v>
      </c>
      <c r="N99" s="10">
        <v>4.816900000000004</v>
      </c>
      <c r="O99" s="10">
        <v>0.42970000000001107</v>
      </c>
      <c r="P99" s="10">
        <f t="shared" si="2"/>
        <v>4.3871999999999929</v>
      </c>
    </row>
    <row r="100" spans="1:18" x14ac:dyDescent="0.25">
      <c r="A100" s="1">
        <v>43340</v>
      </c>
      <c r="B100" s="2">
        <v>3</v>
      </c>
      <c r="C100" t="s">
        <v>58</v>
      </c>
      <c r="D100">
        <v>4</v>
      </c>
      <c r="E100" t="s">
        <v>7</v>
      </c>
      <c r="F100" s="6">
        <v>0.55000000000000004</v>
      </c>
      <c r="G100" s="6">
        <v>30</v>
      </c>
      <c r="J100" s="10">
        <v>3.7587999999999999</v>
      </c>
      <c r="K100" s="9">
        <v>9.5000000000000001E-2</v>
      </c>
      <c r="M100" s="9">
        <v>0.83599999999999997</v>
      </c>
      <c r="N100" s="10">
        <v>4.7870999999999952</v>
      </c>
      <c r="O100" s="10">
        <v>0.34669999999999845</v>
      </c>
      <c r="P100" s="10">
        <f t="shared" si="2"/>
        <v>4.4403999999999968</v>
      </c>
    </row>
    <row r="101" spans="1:18" x14ac:dyDescent="0.25">
      <c r="A101" s="1">
        <v>43340</v>
      </c>
      <c r="B101" s="2">
        <v>4</v>
      </c>
      <c r="C101" t="s">
        <v>58</v>
      </c>
      <c r="D101">
        <v>4</v>
      </c>
      <c r="E101" t="s">
        <v>7</v>
      </c>
      <c r="F101" s="6">
        <v>0.55000000000000004</v>
      </c>
      <c r="G101" s="6">
        <v>0</v>
      </c>
      <c r="J101" s="10">
        <v>3.9171</v>
      </c>
      <c r="K101" s="9">
        <v>9.5000000000000001E-2</v>
      </c>
      <c r="M101" s="9">
        <v>0.88</v>
      </c>
      <c r="P101" s="10">
        <v>4.4030999999999949</v>
      </c>
      <c r="R101" s="10"/>
    </row>
    <row r="102" spans="1:18" x14ac:dyDescent="0.25">
      <c r="A102" s="1">
        <v>43340</v>
      </c>
      <c r="B102" s="2">
        <v>5</v>
      </c>
      <c r="C102" t="s">
        <v>58</v>
      </c>
      <c r="D102">
        <v>4</v>
      </c>
      <c r="E102" t="s">
        <v>7</v>
      </c>
      <c r="F102" s="6">
        <v>0.55000000000000004</v>
      </c>
      <c r="G102" s="6">
        <v>60</v>
      </c>
      <c r="J102" s="10">
        <v>3.9285999999999999</v>
      </c>
      <c r="K102" s="9">
        <v>9.5000000000000001E-2</v>
      </c>
      <c r="N102" s="10">
        <v>4.7680000000000007</v>
      </c>
      <c r="O102" s="10">
        <v>0.32210000000000605</v>
      </c>
      <c r="P102" s="10">
        <f t="shared" si="2"/>
        <v>4.4458999999999946</v>
      </c>
    </row>
    <row r="103" spans="1:18" x14ac:dyDescent="0.25">
      <c r="A103" s="1">
        <v>43340</v>
      </c>
      <c r="B103" s="2">
        <v>6</v>
      </c>
      <c r="C103" t="s">
        <v>58</v>
      </c>
      <c r="D103">
        <v>4</v>
      </c>
      <c r="E103" t="s">
        <v>7</v>
      </c>
      <c r="F103" s="6">
        <v>0.55000000000000004</v>
      </c>
      <c r="G103" s="6">
        <v>0</v>
      </c>
      <c r="J103" s="10">
        <v>3.7869000000000002</v>
      </c>
      <c r="K103" s="9">
        <v>7.4999999999999997E-2</v>
      </c>
      <c r="N103" s="10">
        <v>4.9052999999999969</v>
      </c>
      <c r="O103" s="10">
        <v>0.41339999999999577</v>
      </c>
      <c r="P103" s="10">
        <f t="shared" si="2"/>
        <v>4.4919000000000011</v>
      </c>
    </row>
    <row r="104" spans="1:18" x14ac:dyDescent="0.25">
      <c r="A104" s="1">
        <v>43340</v>
      </c>
      <c r="B104" s="2">
        <v>7</v>
      </c>
      <c r="C104" t="s">
        <v>58</v>
      </c>
      <c r="D104">
        <v>4</v>
      </c>
      <c r="E104" t="s">
        <v>7</v>
      </c>
      <c r="F104" s="6">
        <v>0.55000000000000004</v>
      </c>
      <c r="G104" s="6">
        <v>0</v>
      </c>
      <c r="J104" s="10">
        <v>3.7909000000000002</v>
      </c>
      <c r="K104" s="9">
        <v>8.5000000000000006E-2</v>
      </c>
      <c r="M104" s="9">
        <v>0.873</v>
      </c>
      <c r="N104" s="10">
        <v>4.9136000000000024</v>
      </c>
      <c r="O104" s="10">
        <v>0.44519999999999982</v>
      </c>
      <c r="P104" s="10">
        <f t="shared" si="2"/>
        <v>4.4684000000000026</v>
      </c>
    </row>
    <row r="105" spans="1:18" x14ac:dyDescent="0.25">
      <c r="A105" s="1">
        <v>43342</v>
      </c>
      <c r="B105" s="2">
        <v>1</v>
      </c>
      <c r="C105" t="s">
        <v>52</v>
      </c>
      <c r="D105">
        <v>4</v>
      </c>
      <c r="E105" t="s">
        <v>7</v>
      </c>
      <c r="F105" s="6">
        <v>0.435</v>
      </c>
      <c r="G105" s="6">
        <v>180</v>
      </c>
      <c r="J105" s="10">
        <v>3.6320000000000001</v>
      </c>
      <c r="K105" s="9">
        <v>0</v>
      </c>
      <c r="M105" s="9">
        <v>0.80500000000000005</v>
      </c>
    </row>
    <row r="106" spans="1:18" x14ac:dyDescent="0.25">
      <c r="A106" s="1">
        <v>43342</v>
      </c>
      <c r="B106" s="2">
        <v>2</v>
      </c>
      <c r="C106" t="s">
        <v>52</v>
      </c>
      <c r="D106">
        <v>4</v>
      </c>
      <c r="E106" t="s">
        <v>7</v>
      </c>
      <c r="F106" s="6">
        <v>0.46</v>
      </c>
      <c r="G106" s="6">
        <v>180</v>
      </c>
      <c r="J106" s="10">
        <v>3.7984</v>
      </c>
      <c r="K106" s="9">
        <v>1E-3</v>
      </c>
      <c r="M106" s="9">
        <v>0.88500000000000001</v>
      </c>
    </row>
    <row r="107" spans="1:18" x14ac:dyDescent="0.25">
      <c r="A107" s="1">
        <v>43342</v>
      </c>
      <c r="B107" s="2">
        <v>3</v>
      </c>
      <c r="C107" t="s">
        <v>52</v>
      </c>
      <c r="D107">
        <v>4</v>
      </c>
      <c r="E107" t="s">
        <v>7</v>
      </c>
      <c r="F107" s="6">
        <v>0.51500000000000001</v>
      </c>
      <c r="G107" s="6">
        <v>180</v>
      </c>
      <c r="J107" s="10">
        <v>3.8496999999999999</v>
      </c>
      <c r="K107" s="9">
        <v>0.04</v>
      </c>
      <c r="M107" s="9">
        <v>0.84</v>
      </c>
    </row>
    <row r="108" spans="1:18" x14ac:dyDescent="0.25">
      <c r="A108" s="1">
        <v>43342</v>
      </c>
      <c r="B108" s="2">
        <v>4</v>
      </c>
      <c r="C108" t="s">
        <v>52</v>
      </c>
      <c r="D108">
        <v>4</v>
      </c>
      <c r="E108" t="s">
        <v>7</v>
      </c>
      <c r="F108" s="6">
        <v>0.51</v>
      </c>
      <c r="G108" s="6">
        <v>180</v>
      </c>
      <c r="J108" s="10">
        <v>3.8971</v>
      </c>
      <c r="K108" s="9">
        <v>0.03</v>
      </c>
      <c r="M108" s="9">
        <v>0.82</v>
      </c>
    </row>
    <row r="109" spans="1:18" x14ac:dyDescent="0.25">
      <c r="A109" s="1">
        <v>43342</v>
      </c>
      <c r="B109" s="2">
        <v>5</v>
      </c>
      <c r="C109" t="s">
        <v>52</v>
      </c>
      <c r="D109">
        <v>4</v>
      </c>
      <c r="E109" t="s">
        <v>7</v>
      </c>
      <c r="F109" s="6">
        <v>0.56499999999999995</v>
      </c>
      <c r="G109" s="6">
        <v>180</v>
      </c>
      <c r="J109" s="10">
        <v>3.7071999999999998</v>
      </c>
      <c r="K109" s="9">
        <v>0.08</v>
      </c>
      <c r="M109" s="9">
        <v>0.86499999999999999</v>
      </c>
    </row>
    <row r="110" spans="1:18" x14ac:dyDescent="0.25">
      <c r="A110" s="1">
        <v>43342</v>
      </c>
      <c r="B110" s="2">
        <v>6</v>
      </c>
      <c r="C110" t="s">
        <v>52</v>
      </c>
      <c r="D110">
        <v>4</v>
      </c>
      <c r="E110" t="s">
        <v>7</v>
      </c>
      <c r="F110" s="6">
        <v>0.56499999999999995</v>
      </c>
      <c r="G110" s="6">
        <v>180</v>
      </c>
      <c r="J110" s="10">
        <v>3.7016</v>
      </c>
      <c r="K110" s="9">
        <v>0.11</v>
      </c>
      <c r="M110" s="9">
        <v>0.83</v>
      </c>
    </row>
    <row r="111" spans="1:18" x14ac:dyDescent="0.25">
      <c r="A111" s="1">
        <v>43349</v>
      </c>
      <c r="B111" s="2">
        <v>1</v>
      </c>
      <c r="C111" t="s">
        <v>53</v>
      </c>
      <c r="D111">
        <v>3</v>
      </c>
      <c r="E111" t="s">
        <v>7</v>
      </c>
      <c r="F111" s="6">
        <v>0.51</v>
      </c>
      <c r="G111" s="6">
        <v>180</v>
      </c>
      <c r="J111" s="10">
        <v>3.4832000000000001</v>
      </c>
      <c r="K111" s="9">
        <v>0.1</v>
      </c>
      <c r="L111" s="9">
        <v>0.86</v>
      </c>
      <c r="M111" s="9">
        <v>0.8</v>
      </c>
    </row>
    <row r="112" spans="1:18" x14ac:dyDescent="0.25">
      <c r="A112" s="1">
        <v>43349</v>
      </c>
      <c r="B112" s="2">
        <v>2</v>
      </c>
      <c r="C112" t="s">
        <v>53</v>
      </c>
      <c r="D112">
        <v>3</v>
      </c>
      <c r="E112" t="s">
        <v>7</v>
      </c>
      <c r="F112" s="6">
        <v>0.51</v>
      </c>
      <c r="G112" s="6">
        <v>180</v>
      </c>
      <c r="J112" s="10">
        <v>3.6598999999999999</v>
      </c>
      <c r="K112" s="9">
        <v>0.08</v>
      </c>
      <c r="L112" s="9">
        <v>0.86499999999999999</v>
      </c>
      <c r="M112" s="9">
        <v>0.71499999999999997</v>
      </c>
    </row>
    <row r="113" spans="1:13" x14ac:dyDescent="0.25">
      <c r="A113" s="1">
        <v>43349</v>
      </c>
      <c r="B113" s="2">
        <v>3</v>
      </c>
      <c r="C113" t="s">
        <v>53</v>
      </c>
      <c r="D113">
        <v>3</v>
      </c>
      <c r="E113" t="s">
        <v>7</v>
      </c>
      <c r="F113" s="6">
        <v>0.51</v>
      </c>
      <c r="G113" s="6">
        <v>180</v>
      </c>
      <c r="J113" s="10">
        <v>3.4424999999999999</v>
      </c>
      <c r="K113" s="9">
        <v>0.09</v>
      </c>
      <c r="L113" s="9">
        <v>0.84499999999999997</v>
      </c>
      <c r="M113" s="9">
        <v>0.78</v>
      </c>
    </row>
    <row r="114" spans="1:13" x14ac:dyDescent="0.25">
      <c r="A114" s="1">
        <v>43349</v>
      </c>
      <c r="B114" s="2">
        <v>4</v>
      </c>
      <c r="C114" t="s">
        <v>53</v>
      </c>
      <c r="D114">
        <v>3</v>
      </c>
      <c r="E114" t="s">
        <v>7</v>
      </c>
      <c r="F114" s="6">
        <v>0.51</v>
      </c>
      <c r="G114" s="6">
        <v>180</v>
      </c>
      <c r="J114" s="10">
        <v>3.5476000000000001</v>
      </c>
      <c r="K114" s="9">
        <v>8.3000000000000004E-2</v>
      </c>
      <c r="L114" s="9">
        <v>0.85</v>
      </c>
      <c r="M114" s="9">
        <v>0.79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6"/>
  <sheetViews>
    <sheetView workbookViewId="0">
      <selection sqref="A1:XFD1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24</v>
      </c>
      <c r="G1" t="s">
        <v>25</v>
      </c>
      <c r="H1" t="s">
        <v>26</v>
      </c>
      <c r="I1" t="s">
        <v>34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</row>
    <row r="2" spans="1:15" x14ac:dyDescent="0.25">
      <c r="A2" s="1">
        <v>43249</v>
      </c>
      <c r="B2" s="5">
        <v>1</v>
      </c>
      <c r="C2" t="s">
        <v>3</v>
      </c>
      <c r="D2" t="s">
        <v>7</v>
      </c>
      <c r="E2">
        <v>0.56999999999999995</v>
      </c>
      <c r="H2">
        <f>9.9071-6.1287</f>
        <v>3.7783999999999995</v>
      </c>
      <c r="J2">
        <v>0.125</v>
      </c>
      <c r="K2">
        <f>AVERAGE(0.3538,0.3393,0.3552,0.2848)</f>
        <v>0.33327499999999999</v>
      </c>
      <c r="L2">
        <f>AVERAGE(2.6946,2.7051,2.6921,2.7005,2.7057)</f>
        <v>2.6995999999999998</v>
      </c>
      <c r="M2">
        <f>AVERAGE(0.048,0.0479,0.0482,0.048,0.0481)</f>
        <v>4.8039999999999999E-2</v>
      </c>
      <c r="N2">
        <f>AVERAGE(0.0238,0.0238,0.0241,0.024,0.024)</f>
        <v>2.3939999999999999E-2</v>
      </c>
      <c r="O2" t="s">
        <v>36</v>
      </c>
    </row>
    <row r="3" spans="1:15" x14ac:dyDescent="0.25">
      <c r="A3" s="1">
        <v>43249</v>
      </c>
      <c r="B3" s="5">
        <v>2</v>
      </c>
      <c r="C3" t="s">
        <v>3</v>
      </c>
      <c r="D3" t="s">
        <v>7</v>
      </c>
      <c r="E3">
        <v>0.48899999999999999</v>
      </c>
      <c r="H3">
        <f>10.2262-6.1102</f>
        <v>4.1160000000000005</v>
      </c>
      <c r="J3">
        <v>0.191</v>
      </c>
      <c r="O3" t="s">
        <v>36</v>
      </c>
    </row>
    <row r="4" spans="1:15" x14ac:dyDescent="0.25">
      <c r="A4" s="1">
        <v>43249</v>
      </c>
      <c r="B4" s="5">
        <v>3</v>
      </c>
      <c r="C4" t="s">
        <v>3</v>
      </c>
      <c r="D4" t="s">
        <v>7</v>
      </c>
      <c r="E4">
        <f>4.35/9</f>
        <v>0.48333333333333328</v>
      </c>
      <c r="H4">
        <f>10.4058-6.142</f>
        <v>4.2637999999999989</v>
      </c>
      <c r="J4">
        <v>0.19</v>
      </c>
      <c r="O4" t="s">
        <v>36</v>
      </c>
    </row>
    <row r="5" spans="1:15" x14ac:dyDescent="0.25">
      <c r="A5" s="1">
        <v>43249</v>
      </c>
      <c r="B5" s="5">
        <v>4</v>
      </c>
      <c r="C5" t="s">
        <v>4</v>
      </c>
      <c r="D5" t="s">
        <v>7</v>
      </c>
      <c r="E5">
        <v>0.48299999999999998</v>
      </c>
      <c r="H5">
        <f>9.249-6.1395</f>
        <v>3.1095000000000006</v>
      </c>
      <c r="J5">
        <f>1.2/7.2</f>
        <v>0.16666666666666666</v>
      </c>
      <c r="O5" t="s">
        <v>36</v>
      </c>
    </row>
    <row r="6" spans="1:15" x14ac:dyDescent="0.25">
      <c r="A6" s="1">
        <v>43249</v>
      </c>
      <c r="B6" s="5">
        <v>5</v>
      </c>
      <c r="C6" t="s">
        <v>4</v>
      </c>
      <c r="D6" t="s">
        <v>7</v>
      </c>
      <c r="E6">
        <f>4.5/9.3</f>
        <v>0.48387096774193544</v>
      </c>
      <c r="H6">
        <f>9.7667-6.1078</f>
        <v>3.6589</v>
      </c>
      <c r="J6">
        <f>1.6/8.75</f>
        <v>0.18285714285714286</v>
      </c>
      <c r="K6">
        <f>AVERAGE(0.4088,0.2901,0.5149,0.3388,0.4738,0.4108)</f>
        <v>0.40619999999999995</v>
      </c>
      <c r="L6">
        <f>AVERAGE(3.1669,3.1765,3.1355,3.1426,3.153,3.1487)</f>
        <v>3.153866666666667</v>
      </c>
      <c r="M6">
        <f>AVERAGE(0.0443,0.0444,0.0446,0.0445,0.0445,0.0445)</f>
        <v>4.4466666666666661E-2</v>
      </c>
      <c r="N6">
        <f>AVERAGE(0.0181,0.0182,0.0187,0.0182,0.0183,0.0183)</f>
        <v>1.83E-2</v>
      </c>
      <c r="O6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Main_page_wide</vt:lpstr>
      <vt:lpstr>Hematocrit</vt:lpstr>
      <vt:lpstr>Bad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2018-09-07T04:07:54Z</dcterms:modified>
</cp:coreProperties>
</file>