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66925"/>
  <mc:AlternateContent xmlns:mc="http://schemas.openxmlformats.org/markup-compatibility/2006">
    <mc:Choice Requires="x15">
      <x15ac:absPath xmlns:x15ac="http://schemas.microsoft.com/office/spreadsheetml/2010/11/ac" url="https://d.docs.live.net/7cd0e7a053322a97/Documents/GenAtomic/Optimize/csv/"/>
    </mc:Choice>
  </mc:AlternateContent>
  <xr:revisionPtr revIDLastSave="68" documentId="13_ncr:1_{4C58D55D-5653-4EB9-8CCA-1B8D8087B5E4}" xr6:coauthVersionLast="47" xr6:coauthVersionMax="47" xr10:uidLastSave="{B38941BF-B653-48B1-966C-D5F6B7A50766}"/>
  <bookViews>
    <workbookView xWindow="-90" yWindow="-90" windowWidth="16637" windowHeight="9437" xr2:uid="{738DFCFF-3A0D-4B61-9084-C2C50E31EE06}"/>
  </bookViews>
  <sheets>
    <sheet name="Calc" sheetId="3" r:id="rId1"/>
    <sheet name="CSV" sheetId="9" r:id="rId2"/>
    <sheet name="CO2" sheetId="4" r:id="rId3"/>
    <sheet name="EIA Outlook 2023" sheetId="1" r:id="rId4"/>
    <sheet name="Cap cost 2023" sheetId="8" r:id="rId5"/>
    <sheet name="Cap cost 2020" sheetId="6" r:id="rId6"/>
    <sheet name="Table 55" sheetId="2" r:id="rId7"/>
    <sheet name="Supply Cost Mult" sheetId="7" r:id="rId8"/>
    <sheet name="Fixed Charge Factor" sheetId="5" r:id="rId9"/>
  </sheets>
  <definedNames>
    <definedName name="amt">Calc!#REF!</definedName>
    <definedName name="Hours_per_year">'EIA Outlook 2023'!$L$2</definedName>
    <definedName name="nper">Calc!#REF!</definedName>
    <definedName name="ppy">Calc!$M$5</definedName>
    <definedName name="Rate">Calc!$M$3</definedName>
    <definedName name="tons2tonnes">'CO2'!$B$8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7" i="3" l="1"/>
  <c r="C7" i="9" s="1"/>
  <c r="D17" i="3"/>
  <c r="D7" i="9" s="1"/>
  <c r="E17" i="3"/>
  <c r="E7" i="9" s="1"/>
  <c r="F17" i="3"/>
  <c r="F7" i="9" s="1"/>
  <c r="G17" i="3"/>
  <c r="G7" i="9" s="1"/>
  <c r="B17" i="3"/>
  <c r="B7" i="9" s="1"/>
  <c r="C4" i="4"/>
  <c r="C6" i="9" s="1"/>
  <c r="D4" i="4"/>
  <c r="E4" i="4"/>
  <c r="F4" i="4"/>
  <c r="G4" i="4"/>
  <c r="B4" i="4"/>
  <c r="A17" i="4"/>
  <c r="A16" i="4"/>
  <c r="F6" i="9"/>
  <c r="B6" i="9"/>
  <c r="C21" i="3"/>
  <c r="C22" i="3" s="1"/>
  <c r="D21" i="3"/>
  <c r="D22" i="3" s="1"/>
  <c r="E21" i="3"/>
  <c r="E22" i="3" s="1"/>
  <c r="F21" i="3"/>
  <c r="F22" i="3" s="1"/>
  <c r="G21" i="3"/>
  <c r="G22" i="3" s="1"/>
  <c r="C24" i="3"/>
  <c r="C25" i="3" s="1"/>
  <c r="D24" i="3"/>
  <c r="D25" i="3" s="1"/>
  <c r="E24" i="3"/>
  <c r="E25" i="3" s="1"/>
  <c r="F24" i="3"/>
  <c r="F25" i="3" s="1"/>
  <c r="G24" i="3"/>
  <c r="G25" i="3" s="1"/>
  <c r="C26" i="3"/>
  <c r="D26" i="3"/>
  <c r="E26" i="3"/>
  <c r="F26" i="3"/>
  <c r="G26" i="3"/>
  <c r="B26" i="3"/>
  <c r="B24" i="3"/>
  <c r="B25" i="3" s="1"/>
  <c r="B21" i="3"/>
  <c r="B22" i="3" s="1"/>
  <c r="C19" i="3"/>
  <c r="D19" i="3"/>
  <c r="E19" i="3"/>
  <c r="F19" i="3"/>
  <c r="G19" i="3"/>
  <c r="B19" i="3"/>
  <c r="G23" i="3" l="1"/>
  <c r="G3" i="9" s="1"/>
  <c r="E3" i="9"/>
  <c r="D3" i="9"/>
  <c r="F3" i="9"/>
  <c r="C3" i="9"/>
  <c r="B3" i="9"/>
  <c r="E6" i="9"/>
  <c r="D6" i="9"/>
  <c r="C38" i="3"/>
  <c r="G31" i="3"/>
  <c r="G32" i="3" s="1"/>
  <c r="C39" i="3"/>
  <c r="D39" i="3"/>
  <c r="E39" i="3"/>
  <c r="F39" i="3"/>
  <c r="G39" i="3"/>
  <c r="C42" i="3"/>
  <c r="D42" i="3"/>
  <c r="E42" i="3"/>
  <c r="F42" i="3"/>
  <c r="G42" i="3"/>
  <c r="B42" i="3"/>
  <c r="B30" i="3"/>
  <c r="B39" i="3"/>
  <c r="C30" i="3"/>
  <c r="D30" i="3"/>
  <c r="E30" i="3"/>
  <c r="F30" i="3"/>
  <c r="G30" i="3"/>
  <c r="C31" i="3"/>
  <c r="C32" i="3" s="1"/>
  <c r="D31" i="3"/>
  <c r="D32" i="3" s="1"/>
  <c r="E31" i="3"/>
  <c r="E32" i="3" s="1"/>
  <c r="F31" i="3"/>
  <c r="F32" i="3" s="1"/>
  <c r="C35" i="3"/>
  <c r="D35" i="3"/>
  <c r="E35" i="3"/>
  <c r="F35" i="3"/>
  <c r="G35" i="3"/>
  <c r="B35" i="3"/>
  <c r="G33" i="3"/>
  <c r="C33" i="3"/>
  <c r="D33" i="3"/>
  <c r="E33" i="3"/>
  <c r="F33" i="3"/>
  <c r="B33" i="3"/>
  <c r="B31" i="3"/>
  <c r="B32" i="3" s="1"/>
  <c r="C28" i="3"/>
  <c r="D28" i="3"/>
  <c r="E28" i="3"/>
  <c r="F28" i="3"/>
  <c r="G28" i="3"/>
  <c r="B28" i="3"/>
  <c r="C11" i="3"/>
  <c r="C12" i="3" s="1"/>
  <c r="D11" i="3"/>
  <c r="D12" i="3" s="1"/>
  <c r="E11" i="3"/>
  <c r="E12" i="3" s="1"/>
  <c r="F11" i="3"/>
  <c r="F12" i="3" s="1"/>
  <c r="G11" i="3"/>
  <c r="G12" i="3" s="1"/>
  <c r="C14" i="3"/>
  <c r="C15" i="3" s="1"/>
  <c r="D14" i="3"/>
  <c r="D15" i="3" s="1"/>
  <c r="E14" i="3"/>
  <c r="E15" i="3" s="1"/>
  <c r="F14" i="3"/>
  <c r="F15" i="3" s="1"/>
  <c r="G14" i="3"/>
  <c r="G15" i="3" s="1"/>
  <c r="C16" i="3"/>
  <c r="D16" i="3"/>
  <c r="E16" i="3"/>
  <c r="F16" i="3"/>
  <c r="G16" i="3"/>
  <c r="C9" i="3"/>
  <c r="D9" i="3"/>
  <c r="E9" i="3"/>
  <c r="F9" i="3"/>
  <c r="G9" i="3"/>
  <c r="G5" i="3"/>
  <c r="G6" i="3" s="1"/>
  <c r="G7" i="3" s="1"/>
  <c r="C5" i="3"/>
  <c r="C6" i="3" s="1"/>
  <c r="D5" i="3"/>
  <c r="D6" i="3" s="1"/>
  <c r="E5" i="3"/>
  <c r="E6" i="3" s="1"/>
  <c r="F5" i="3"/>
  <c r="F6" i="3" s="1"/>
  <c r="E3" i="3"/>
  <c r="F3" i="3"/>
  <c r="G3" i="3"/>
  <c r="B16" i="3"/>
  <c r="B14" i="3"/>
  <c r="B15" i="3" s="1"/>
  <c r="B11" i="3"/>
  <c r="B12" i="3" s="1"/>
  <c r="B9" i="3"/>
  <c r="M28" i="6"/>
  <c r="M27" i="6"/>
  <c r="M26" i="6"/>
  <c r="M25" i="6"/>
  <c r="M24" i="6"/>
  <c r="M23" i="6"/>
  <c r="M22" i="6"/>
  <c r="M21" i="6"/>
  <c r="M20" i="6"/>
  <c r="M19" i="6"/>
  <c r="M18" i="6"/>
  <c r="M17" i="6"/>
  <c r="M16" i="6"/>
  <c r="M15" i="6"/>
  <c r="M14" i="6"/>
  <c r="M13" i="6"/>
  <c r="M12" i="6"/>
  <c r="M11" i="6"/>
  <c r="M10" i="6"/>
  <c r="M9" i="6"/>
  <c r="M8" i="6"/>
  <c r="M7" i="6"/>
  <c r="M6" i="6"/>
  <c r="M5" i="6"/>
  <c r="M4" i="6"/>
  <c r="G59" i="3" l="1"/>
  <c r="F59" i="3"/>
  <c r="E59" i="3"/>
  <c r="D59" i="3"/>
  <c r="C59" i="3"/>
  <c r="C46" i="3"/>
  <c r="G56" i="3"/>
  <c r="G5" i="9"/>
  <c r="F56" i="3"/>
  <c r="F5" i="9"/>
  <c r="E56" i="3"/>
  <c r="E5" i="9"/>
  <c r="D56" i="3"/>
  <c r="D5" i="9"/>
  <c r="C56" i="3"/>
  <c r="C5" i="9"/>
  <c r="B56" i="3"/>
  <c r="B5" i="9"/>
  <c r="B59" i="3"/>
  <c r="B60" i="3"/>
  <c r="G61" i="3"/>
  <c r="G48" i="3"/>
  <c r="F61" i="3"/>
  <c r="F48" i="3"/>
  <c r="E61" i="3"/>
  <c r="E48" i="3"/>
  <c r="D61" i="3"/>
  <c r="D48" i="3"/>
  <c r="C61" i="3"/>
  <c r="C48" i="3"/>
  <c r="B61" i="3"/>
  <c r="B48" i="3"/>
  <c r="G40" i="3"/>
  <c r="C40" i="3"/>
  <c r="F40" i="3"/>
  <c r="E40" i="3"/>
  <c r="D40" i="3"/>
  <c r="B40" i="3"/>
  <c r="E36" i="3"/>
  <c r="F36" i="3"/>
  <c r="D36" i="3"/>
  <c r="G36" i="3"/>
  <c r="C36" i="3"/>
  <c r="B36" i="3"/>
  <c r="O34" i="3"/>
  <c r="B5" i="3"/>
  <c r="B6" i="3" s="1"/>
  <c r="C3" i="3"/>
  <c r="D3" i="3"/>
  <c r="B3" i="3"/>
  <c r="P32" i="3"/>
  <c r="Q32" i="3"/>
  <c r="O32" i="3"/>
  <c r="Q33" i="3"/>
  <c r="Q35" i="3" s="1"/>
  <c r="Q34" i="3"/>
  <c r="P34" i="3"/>
  <c r="P33" i="3"/>
  <c r="P35" i="3" s="1"/>
  <c r="O33" i="3"/>
  <c r="O35" i="3" s="1"/>
  <c r="N19" i="1"/>
  <c r="N18" i="1"/>
  <c r="N16" i="1"/>
  <c r="N15" i="1"/>
  <c r="N14" i="1"/>
  <c r="N13" i="1"/>
  <c r="N12" i="1"/>
  <c r="N7" i="1"/>
  <c r="N8" i="1"/>
  <c r="N9" i="1"/>
  <c r="N10" i="1"/>
  <c r="N6" i="1"/>
  <c r="K19" i="1"/>
  <c r="M19" i="1" s="1"/>
  <c r="L2" i="1"/>
  <c r="K18" i="1" s="1"/>
  <c r="M18" i="1" s="1"/>
  <c r="Q20" i="1"/>
  <c r="Q19" i="1" s="1"/>
  <c r="S19" i="1"/>
  <c r="S16" i="1"/>
  <c r="Q16" i="1"/>
  <c r="S15" i="1"/>
  <c r="Q15" i="1"/>
  <c r="S13" i="1"/>
  <c r="Q13" i="1"/>
  <c r="S9" i="1"/>
  <c r="Q9" i="1"/>
  <c r="S8" i="1"/>
  <c r="Q8" i="1"/>
  <c r="S6" i="1"/>
  <c r="Q6" i="1"/>
  <c r="G13" i="3" l="1"/>
  <c r="G6" i="9"/>
  <c r="B4" i="9"/>
  <c r="D4" i="9"/>
  <c r="E4" i="9"/>
  <c r="F4" i="9"/>
  <c r="C4" i="9"/>
  <c r="G41" i="3"/>
  <c r="B55" i="3"/>
  <c r="D55" i="3"/>
  <c r="E55" i="3"/>
  <c r="F55" i="3"/>
  <c r="C55" i="3"/>
  <c r="G55" i="3"/>
  <c r="F54" i="3"/>
  <c r="G45" i="3"/>
  <c r="D54" i="3"/>
  <c r="E54" i="3"/>
  <c r="C54" i="3"/>
  <c r="B45" i="3"/>
  <c r="B54" i="3"/>
  <c r="G54" i="3"/>
  <c r="G60" i="3"/>
  <c r="D60" i="3"/>
  <c r="E60" i="3"/>
  <c r="F60" i="3"/>
  <c r="C60" i="3"/>
  <c r="B47" i="3"/>
  <c r="E47" i="3"/>
  <c r="F47" i="3"/>
  <c r="D47" i="3"/>
  <c r="C47" i="3"/>
  <c r="G47" i="3"/>
  <c r="C45" i="3"/>
  <c r="C51" i="3"/>
  <c r="G51" i="3"/>
  <c r="D45" i="3"/>
  <c r="D51" i="3"/>
  <c r="F45" i="3"/>
  <c r="F51" i="3"/>
  <c r="E45" i="3"/>
  <c r="E51" i="3"/>
  <c r="B51" i="3"/>
  <c r="G37" i="3"/>
  <c r="Q36" i="3"/>
  <c r="P36" i="3"/>
  <c r="O36" i="3"/>
  <c r="K6" i="1"/>
  <c r="M6" i="1" s="1"/>
  <c r="K10" i="1"/>
  <c r="M10" i="1" s="1"/>
  <c r="K8" i="1"/>
  <c r="M8" i="1" s="1"/>
  <c r="K15" i="1"/>
  <c r="M15" i="1" s="1"/>
  <c r="K16" i="1"/>
  <c r="M16" i="1" s="1"/>
  <c r="K9" i="1"/>
  <c r="M9" i="1" s="1"/>
  <c r="K7" i="1"/>
  <c r="M7" i="1" s="1"/>
  <c r="K12" i="1"/>
  <c r="M12" i="1" s="1"/>
  <c r="K13" i="1"/>
  <c r="M13" i="1" s="1"/>
  <c r="K14" i="1"/>
  <c r="M14" i="1" s="1"/>
  <c r="G4" i="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Cliff Gold</author>
  </authors>
  <commentList>
    <comment ref="K19" authorId="0" shapeId="0" xr:uid="{52DAD54C-1772-42D2-A373-94E4BCE20CF2}">
      <text>
        <r>
          <rPr>
            <b/>
            <sz val="9"/>
            <color indexed="81"/>
            <rFont val="Tahoma"/>
            <family val="2"/>
          </rPr>
          <t>Cliff Gold:</t>
        </r>
        <r>
          <rPr>
            <sz val="9"/>
            <color indexed="81"/>
            <rFont val="Tahoma"/>
            <family val="2"/>
          </rPr>
          <t xml:space="preserve">
Storage is assumed discharged 1/day.</t>
        </r>
      </text>
    </comment>
    <comment ref="P20" authorId="0" shapeId="0" xr:uid="{C346E654-B201-48CC-9033-19B2FB25A83F}">
      <text>
        <r>
          <rPr>
            <b/>
            <sz val="9"/>
            <color indexed="81"/>
            <rFont val="Tahoma"/>
            <family val="2"/>
          </rPr>
          <t>Cliff Gold:</t>
        </r>
        <r>
          <rPr>
            <sz val="9"/>
            <color indexed="81"/>
            <rFont val="Tahoma"/>
            <family val="2"/>
          </rPr>
          <t xml:space="preserve">
The battery capacity to produce 1 MWh/Year with daily discharge</t>
        </r>
      </text>
    </comment>
  </commentList>
</comments>
</file>

<file path=xl/sharedStrings.xml><?xml version="1.0" encoding="utf-8"?>
<sst xmlns="http://schemas.openxmlformats.org/spreadsheetml/2006/main" count="494" uniqueCount="331">
  <si>
    <t>https://www.eia.gov/outlooks/aeo/electricity_generation/xls/AEO2023_LCOE-LCOS-LACE_figures.xlsx</t>
  </si>
  <si>
    <t xml:space="preserve">Estimated unweighted levelized cost of electricity (LCOE) and levelized cost of storage (LCOS) for new </t>
  </si>
  <si>
    <t>resources entering service in 2028, AEO2023 Reference case (2022 dollars per megawatthour)</t>
  </si>
  <si>
    <t>Plant type</t>
  </si>
  <si>
    <t>Capacity factor (percent)</t>
  </si>
  <si>
    <t>Levelized capital cost</t>
  </si>
  <si>
    <t>Levelized fixed O&amp;M</t>
  </si>
  <si>
    <t>Levelized variable cost</t>
  </si>
  <si>
    <t>Levelized transmission cost</t>
  </si>
  <si>
    <t>Total system LCOE or LCOS</t>
  </si>
  <si>
    <t>Levelized tax credit</t>
  </si>
  <si>
    <t>Total LCOE or LCOS including tax credit</t>
  </si>
  <si>
    <t>Dispatchable technologies</t>
  </si>
  <si>
    <t>Ultra-super critical coal</t>
  </si>
  <si>
    <t>NA</t>
  </si>
  <si>
    <t>Coal_EIA_Fixed</t>
  </si>
  <si>
    <t>Coal_EIA_Variable</t>
  </si>
  <si>
    <t>$/MWh (M$/GWh)</t>
  </si>
  <si>
    <t>=M$/TWh</t>
  </si>
  <si>
    <t>Biomass</t>
  </si>
  <si>
    <t>Advanced nuclear</t>
  </si>
  <si>
    <t>Nuclear_EIA_Fixed</t>
  </si>
  <si>
    <t>Nuclear_EIA_Variable</t>
  </si>
  <si>
    <t>$/MWh</t>
  </si>
  <si>
    <t>Combined-cycle</t>
  </si>
  <si>
    <t>Gas_EIA_Fixed</t>
  </si>
  <si>
    <t>Gas_EIA_Variable</t>
  </si>
  <si>
    <t>Geothermal</t>
  </si>
  <si>
    <t>Resource-contrained technologies</t>
  </si>
  <si>
    <t>Wind, offshore</t>
  </si>
  <si>
    <t>Hydroelectric</t>
  </si>
  <si>
    <t>Hydro_EIA_Fixed</t>
  </si>
  <si>
    <t>Hydro_EIA_Variable</t>
  </si>
  <si>
    <t>Solar, hybrid</t>
  </si>
  <si>
    <t>Wind, onshore</t>
  </si>
  <si>
    <t>Wind_EIA_Fixed</t>
  </si>
  <si>
    <t>Wind_EIA_Variable</t>
  </si>
  <si>
    <t>Solar, standalone</t>
  </si>
  <si>
    <t>Solar_EIA_Fixed</t>
  </si>
  <si>
    <t>Solar_EIA_Variable</t>
  </si>
  <si>
    <t>Capacity resource technologies</t>
  </si>
  <si>
    <t>Combustion turbine</t>
  </si>
  <si>
    <t>Battery storage</t>
  </si>
  <si>
    <t>Battery_EIA_Capacity</t>
  </si>
  <si>
    <t>Battery_EIA_Variable</t>
  </si>
  <si>
    <r>
      <t xml:space="preserve">Data source:  U.S. Energy Information Administration, </t>
    </r>
    <r>
      <rPr>
        <i/>
        <sz val="9"/>
        <color theme="1"/>
        <rFont val="Calibri"/>
        <family val="2"/>
        <scheme val="minor"/>
      </rPr>
      <t>Annual Energy Outlook 2023</t>
    </r>
  </si>
  <si>
    <t>Battery Capacity</t>
  </si>
  <si>
    <t>MWh Capacity</t>
  </si>
  <si>
    <r>
      <t xml:space="preserve">Note: Technologies not eligible for the tax credits are indicated as </t>
    </r>
    <r>
      <rPr>
        <i/>
        <sz val="9"/>
        <color theme="1"/>
        <rFont val="Calibri"/>
        <family val="2"/>
        <scheme val="minor"/>
      </rPr>
      <t>NA</t>
    </r>
    <r>
      <rPr>
        <sz val="9"/>
        <color theme="1"/>
        <rFont val="Calibri"/>
        <family val="2"/>
        <scheme val="minor"/>
      </rPr>
      <t>, or not available.</t>
    </r>
  </si>
  <si>
    <t xml:space="preserve">Estimated capacity-weighted levelized cost of electricity (LCOE) and levelized cost of storage (LCOS) for new </t>
  </si>
  <si>
    <t>Hours per year</t>
  </si>
  <si>
    <t>Fixed Cost/MW</t>
  </si>
  <si>
    <t>Variable Cost/MWh</t>
  </si>
  <si>
    <t>Coal</t>
  </si>
  <si>
    <t>Bio</t>
  </si>
  <si>
    <t>Nuclear</t>
  </si>
  <si>
    <t>Gas</t>
  </si>
  <si>
    <t>Geo</t>
  </si>
  <si>
    <t>Wind, off</t>
  </si>
  <si>
    <t>Hydro</t>
  </si>
  <si>
    <t>Solar + Storage</t>
  </si>
  <si>
    <t>Wind, on</t>
  </si>
  <si>
    <t>Solar</t>
  </si>
  <si>
    <t>Gas, Peak</t>
  </si>
  <si>
    <t>Storage</t>
  </si>
  <si>
    <t>MW to produce 1MWh/year</t>
  </si>
  <si>
    <t>Cap Factor</t>
  </si>
  <si>
    <t>MW per MWh-year</t>
  </si>
  <si>
    <t>$/MW</t>
  </si>
  <si>
    <t>Cap $/MW</t>
  </si>
  <si>
    <t>Line</t>
  </si>
  <si>
    <t>Rate</t>
  </si>
  <si>
    <t>ppy</t>
  </si>
  <si>
    <t>Period/Year</t>
  </si>
  <si>
    <t>Wind</t>
  </si>
  <si>
    <t>tons2tonnes</t>
  </si>
  <si>
    <t>Tonnes/GWh</t>
  </si>
  <si>
    <t>Tons/MWh</t>
  </si>
  <si>
    <t>Table 55.  Overnight Capital Costs for New Electricity Generating Plants</t>
  </si>
  <si>
    <t>https://www.eia.gov/outlooks/aeo/data/browser/#/?id=123-AEO2023&amp;cases=ref2023&amp;sourcekey=0</t>
  </si>
  <si>
    <t>Thu Nov 09 2023 15:54:03 GMT-0800 (Pacific Standard Time)</t>
  </si>
  <si>
    <t>Source: U.S. Energy Information Administration</t>
  </si>
  <si>
    <t>full name</t>
  </si>
  <si>
    <t>api key</t>
  </si>
  <si>
    <t>units</t>
  </si>
  <si>
    <t>Growth (2022-2050)</t>
  </si>
  <si>
    <t>Ultra-supercritical (USC) Coal</t>
  </si>
  <si>
    <t>Electricity Capital Costs: Coal: Ultra-supercritical (USC): Reference case</t>
  </si>
  <si>
    <t>AEO.2023.REF2023.PRCE_OTC_ELEP_NA_CL_CNV_NA_Y13DLRKW.A</t>
  </si>
  <si>
    <t>2022 $/kW</t>
  </si>
  <si>
    <t>- -</t>
  </si>
  <si>
    <t>USC Coal with 30% Sequestration</t>
  </si>
  <si>
    <t>Electricity Capital Costs: Coal: USC with 30% Sequestration: Reference case</t>
  </si>
  <si>
    <t>AEO.2023.REF2023.PRCE_OTC_ELEP_NA_CL_ADPTSQ_NA_Y13DLRKW.A</t>
  </si>
  <si>
    <t>USC Coal with 90% Sequestration</t>
  </si>
  <si>
    <t>Electricity Capital Costs: Coal: USC with 90% Sequestration: Reference case</t>
  </si>
  <si>
    <t>AEO.2023.REF2023.PRCE_OTC_ELEP_NA_CL_ADSQ_NA_Y13DLRKW.A</t>
  </si>
  <si>
    <t>Combined Cycle</t>
  </si>
  <si>
    <t>Combined Cycle - Single Shaft</t>
  </si>
  <si>
    <t>Electricity Capital Costs: Combined Cycle: Single shaft: Reference case</t>
  </si>
  <si>
    <t>AEO.2023.REF2023.PRCE_OTC_ELEP_NA_CMC_CNV_NA_Y13DLRKW.A</t>
  </si>
  <si>
    <t>Combined Cycle - Multi Shaft</t>
  </si>
  <si>
    <t>Electricity Capital Costs: Combined Cycle: Multi shaft: Reference case</t>
  </si>
  <si>
    <t>AEO.2023.REF2023.PRCE_OTC_ELEP_NA_CMC_ADUSQ_NA_Y13DLRKW.A</t>
  </si>
  <si>
    <t>Combined Cycle with 90% Sequestration</t>
  </si>
  <si>
    <t>Electricity Capital Costs: Combined Cycle: CC with 90% Sequestration: Reference case</t>
  </si>
  <si>
    <t>AEO.2023.REF2023.PRCE_OTC_ELEP_NA_CMC_ADSQ_NA_Y13DLRKW.A</t>
  </si>
  <si>
    <t>Combustion Turbine/Diesel</t>
  </si>
  <si>
    <t>Combustion Turbine - Aeroderivative</t>
  </si>
  <si>
    <t>Electricity Capital Costs: Combustion Turbine: Aeroderivative: Reference case</t>
  </si>
  <si>
    <t>AEO.2023.REF2023.PRCE_OTC_ELEP_NA_CMB_CNV_NA_Y13DLRKW.A</t>
  </si>
  <si>
    <t>Combustion Turbine - Industrial Frame</t>
  </si>
  <si>
    <t>Electricity Capital Costs: Combustion Turbine: Industrial Frame: Reference case</t>
  </si>
  <si>
    <t>AEO.2023.REF2023.PRCE_OTC_ELEP_NA_CMB_ADV_NA_Y13DLRKW.A</t>
  </si>
  <si>
    <t>Internal Combustion Engine</t>
  </si>
  <si>
    <t>Electricity Capital Costs: Combustion Turbine: Internal Combustion: Reference case</t>
  </si>
  <si>
    <t>AEO.2023.REF2023.PRCE_OTC_ELEP_NA_CMB_INTC_NA_Y13DLRKW.A</t>
  </si>
  <si>
    <t>Nuclear Power</t>
  </si>
  <si>
    <t>Light Water Reactor</t>
  </si>
  <si>
    <t>Electricity Capital Costs: Nuclear: Light Water Reactor: Reference case</t>
  </si>
  <si>
    <t>AEO.2023.REF2023.PRCE_OTC_ELEP_NA_NUC_NA_NA_Y13DLRKW.A</t>
  </si>
  <si>
    <t>Small Modular Reactor</t>
  </si>
  <si>
    <t>Electricity Capital Costs: Nuclear: Small Modular Reactor: Reference case</t>
  </si>
  <si>
    <t>AEO.2023.REF2023.PRCE_OTC_ELEP_NA_NUC_SMR_NA_Y13DLRKW.A</t>
  </si>
  <si>
    <t>Fuel Cells</t>
  </si>
  <si>
    <t>Electricity Capital Costs: Fuel Cells: Reference case</t>
  </si>
  <si>
    <t>AEO.2023.REF2023.PRCE_OTC_ELEP_NA_FCL_NA_NA_Y13DLRKW.A</t>
  </si>
  <si>
    <t>Renewable Sources</t>
  </si>
  <si>
    <t>Conventional Hydroelectric Power</t>
  </si>
  <si>
    <t>Electricity Capital Costs: Renewables: Conventional Hydro: Reference case</t>
  </si>
  <si>
    <t>AEO.2023.REF2023.PRCE_OTC_ELEP_NA_HYD_CNV_NA_Y13DLRKW.A</t>
  </si>
  <si>
    <t>Electricity Capital Costs: Renewables: Geothermal: Reference case</t>
  </si>
  <si>
    <t>AEO.2023.REF2023.PRCE_OTC_ELEP_NA_GEOTHM_NA_NA_Y13DLRKW.A</t>
  </si>
  <si>
    <t>Wood and Other Biomass</t>
  </si>
  <si>
    <t>Electricity Capital Costs: Renewables: Wood and Other Biomass: Reference case</t>
  </si>
  <si>
    <t>AEO.2023.REF2023.PRCE_OTC_ELEP_NA_WBM_NA_NA_Y13DLRKW.A</t>
  </si>
  <si>
    <t>Solar Thermal</t>
  </si>
  <si>
    <t>Electricity Capital Costs: Renewables: Solar Thermal: Reference case</t>
  </si>
  <si>
    <t>AEO.2023.REF2023.PRCE_OTC_ELEP_NA_SLR_THERM_NA_Y13DLRKW.A</t>
  </si>
  <si>
    <t>Solar Photovoltaic with Axis Tracking</t>
  </si>
  <si>
    <t>Electricity Capital Costs: Renewables: Photovoltaic with Axis Tracking: Reference case</t>
  </si>
  <si>
    <t>AEO.2023.REF2023.PRCE_OTC_ELEP_NA_SLR_PHTVL_NA_Y13DLRKW.A</t>
  </si>
  <si>
    <t>Solar Photovoltaic with Storage</t>
  </si>
  <si>
    <t>Electricity Capital Costs: Renewables: Photovoltaic with Storage: Reference case</t>
  </si>
  <si>
    <t>AEO.2023.REF2023.PRCE_OTC_ELEP_NA_SLR_PHTVLA_NA_Y13DLRKW.A</t>
  </si>
  <si>
    <t>Electricity Capital Costs: Renewables: Wind: Reference case</t>
  </si>
  <si>
    <t>AEO.2023.REF2023.PRCE_OTC_ELEP_NA_WND_NA_NA_Y13DLRKW.A</t>
  </si>
  <si>
    <t>Offshore Wind</t>
  </si>
  <si>
    <t>Electricity Capital Costs: Renewables: Offshore Wind: Reference case</t>
  </si>
  <si>
    <t>AEO.2023.REF2023.PRCE_OTC_ELEP_NA_WND_OFS_NA_Y13DLRKW.A</t>
  </si>
  <si>
    <t>Diurnal Storage</t>
  </si>
  <si>
    <t>Electricity Capital Costs: Renewables: Diurnal Storage: Reference case</t>
  </si>
  <si>
    <t>AEO.2023.REF2023.PRCE_OTC_ELEP_NA_STO_DIURN_NA_Y13DLRKW.A</t>
  </si>
  <si>
    <t>Distributed Generation</t>
  </si>
  <si>
    <t>Base</t>
  </si>
  <si>
    <t>Electricity Capital Costs: Distributed Generation: Base: Reference case</t>
  </si>
  <si>
    <t>AEO.2023.REF2023.PRCE_OTC_ELEP_BAS_ELC_DISTR_NA_Y13DLRKW.A</t>
  </si>
  <si>
    <t>Peak</t>
  </si>
  <si>
    <t>Electricity Capital Costs: Distributed Generation: Peak: Reference case</t>
  </si>
  <si>
    <t>AEO.2023.REF2023.PRCE_OTC_ELEP_PKE_ELC_DISTR_NA_Y13DLRKW.A</t>
  </si>
  <si>
    <t>Levelized cost of electricity components for generating asset entering service in 2028</t>
  </si>
  <si>
    <t>Technology</t>
  </si>
  <si>
    <t>Average capacity factor (%)</t>
  </si>
  <si>
    <t>Average fixed charge factor</t>
  </si>
  <si>
    <t>Line (Table 55)</t>
  </si>
  <si>
    <t>Capacity Factor</t>
  </si>
  <si>
    <t>Line (Fixed Charge Factor)</t>
  </si>
  <si>
    <t>Cap $/kW (2028 - Col L)</t>
  </si>
  <si>
    <t>Table 55</t>
  </si>
  <si>
    <t>Capital Costs and Performance Characteristics for Utility Scale Power Generating Technologies (eia.gov)</t>
  </si>
  <si>
    <t>Table 2 — Cost &amp; Performance Summary Table</t>
  </si>
  <si>
    <t>Case No.</t>
  </si>
  <si>
    <t>Description</t>
  </si>
  <si>
    <t>Net Nominal Capacity (kW)</t>
  </si>
  <si>
    <t>Net Nominal Heat Rate (Btu/Kwh)</t>
  </si>
  <si>
    <t>Capital Cost ($/kW)</t>
  </si>
  <si>
    <t>Fixed O&amp;M Cost ($/kW-year)</t>
  </si>
  <si>
    <t>Variable O&amp;M Cost ($/MWh)</t>
  </si>
  <si>
    <t>NOx (lb/MMBtu)</t>
  </si>
  <si>
    <t>SO2 (lb/MMBtu)</t>
  </si>
  <si>
    <t>CO2 (lb/MMBtu)</t>
  </si>
  <si>
    <t>(Lifetime)</t>
  </si>
  <si>
    <t>650 MW Net, Ultra-Supercritical Coal w/o Carbon Capture – Greenfield</t>
  </si>
  <si>
    <t>1 x 735 MW Gross</t>
  </si>
  <si>
    <t>650 MW Net, Ultra-Supercritical Coal 30% Carbon Capture</t>
  </si>
  <si>
    <t>1 x 769 MW Gross</t>
  </si>
  <si>
    <t>650 MW Net, Ultra-Supercritical Coal 90% Carbon Capture</t>
  </si>
  <si>
    <t>1 x 831 MW Gross</t>
  </si>
  <si>
    <t>Internal Combustion Engines</t>
  </si>
  <si>
    <t>4 x 5.6 MW</t>
  </si>
  <si>
    <t>Combustion Turbines – Simple Cycle</t>
  </si>
  <si>
    <t>2 x LM6000</t>
  </si>
  <si>
    <t>1 x GE 7FA</t>
  </si>
  <si>
    <t>Combined-Cycle 2x2x1</t>
  </si>
  <si>
    <t>GE 7HA.02</t>
  </si>
  <si>
    <t>Combined-Cycle 1x1x1, Single Shaft</t>
  </si>
  <si>
    <t>H Class</t>
  </si>
  <si>
    <t>Combined-Cycle 1x1x1, Single Shaft, w/ 90% Carbon Capture</t>
  </si>
  <si>
    <t>H-Class</t>
  </si>
  <si>
    <t>Fuel Cell</t>
  </si>
  <si>
    <t>34 x 300 kW Gross</t>
  </si>
  <si>
    <t>Advanced Nuclear (Brownfield)</t>
  </si>
  <si>
    <t>2 x AP1000</t>
  </si>
  <si>
    <t>Small Modular Reactor Nuclear Power Plant</t>
  </si>
  <si>
    <t>12 x 50-MW Small Modular Reactor</t>
  </si>
  <si>
    <t>50-MW Biomass Plant</t>
  </si>
  <si>
    <t>Bubbling Fluidized Bed</t>
  </si>
  <si>
    <t>&lt;0.03</t>
  </si>
  <si>
    <t>10% Biomass Co-Fire Retrofit</t>
  </si>
  <si>
    <t>300-MW PC Boiler</t>
  </si>
  <si>
    <t>0%–20%</t>
  </si>
  <si>
    <t>Binary Cycle</t>
  </si>
  <si>
    <t>N/A</t>
  </si>
  <si>
    <t>Internal Combustion Engines – Landfill Gas</t>
  </si>
  <si>
    <t>4 x 9.1 MW</t>
  </si>
  <si>
    <t>Hydroelectric Power Plant</t>
  </si>
  <si>
    <t>New Stream Reach Development</t>
  </si>
  <si>
    <t>Battery Energy Storage System</t>
  </si>
  <si>
    <t>50 MW | 200 MWh</t>
  </si>
  <si>
    <t>1389 (347 $/kWh)</t>
  </si>
  <si>
    <t>50 MW | 100 MWh</t>
  </si>
  <si>
    <t>845 (423 $/kWh)</t>
  </si>
  <si>
    <t>Onshore Wind – Large Plant Footprint: Great Plains Region</t>
  </si>
  <si>
    <t>200 MW | 2.82 MW WTG</t>
  </si>
  <si>
    <t>Onshore Wind – Small Plant Footprint: Coastal Region</t>
  </si>
  <si>
    <t>50 MW | 2.78 MW WTG</t>
  </si>
  <si>
    <t>Fixed-bottom Offshore Wind: Monopile Foundations</t>
  </si>
  <si>
    <t>400 MW | 10 MW WTG</t>
  </si>
  <si>
    <t>Concentrating Solar Power Tower</t>
  </si>
  <si>
    <t>with Molten Salt Thermal Storage</t>
  </si>
  <si>
    <t>Solar PV w/ Single Axis Tracking</t>
  </si>
  <si>
    <t>150 MWAC</t>
  </si>
  <si>
    <t>Solar PV w/ Single Axis Tracking + Battery Storage</t>
  </si>
  <si>
    <t>150 MWAC Solar 50 MW | 200 MWh Storage</t>
  </si>
  <si>
    <t>Cap Cost 2020</t>
  </si>
  <si>
    <t>Fixed Cost $/MW-year</t>
  </si>
  <si>
    <t>Variable Cost $/MWh</t>
  </si>
  <si>
    <t>EIA Outlook 2023</t>
  </si>
  <si>
    <t>Line (EIA Outlook 2023)</t>
  </si>
  <si>
    <t>Fixed Charge Factor</t>
  </si>
  <si>
    <t>Fixed Charge Factor (Mult)</t>
  </si>
  <si>
    <t>Cap $/MWh (100 MW/400 MWh)</t>
  </si>
  <si>
    <t>Line (Cap Cost 2020)</t>
  </si>
  <si>
    <t>Cap $/kW</t>
  </si>
  <si>
    <t>https://www.eia.gov/outlooks/aeo/electricity_generation/pdf/AEO2023_LCOE_report.pdf</t>
  </si>
  <si>
    <t>From: INFOCTR@eia.gov</t>
  </si>
  <si>
    <t>Cap $/MWh</t>
  </si>
  <si>
    <t>MWh (of Operation)/Year</t>
  </si>
  <si>
    <t>Fixed Cost</t>
  </si>
  <si>
    <t>Variable Cost</t>
  </si>
  <si>
    <t>Fixed Cost ($/MWh)</t>
  </si>
  <si>
    <t>Variable Cost ($/MWh)</t>
  </si>
  <si>
    <t>Fixed Cost ($/MW)</t>
  </si>
  <si>
    <t>Fixed Cost $/kW-year</t>
  </si>
  <si>
    <t>Cap $/MWh of battery storage</t>
  </si>
  <si>
    <t>So, we use supply step cost multipliers to reflect the additional cost, but the capital cost for wind in Table 55 doesn’t show this supply step cost multiplier.</t>
  </si>
  <si>
    <t>If you use $2,054 (the average of the numbers shown below, which are all-in costs including regional multipliers and other cost adjustments) as your capital cost instead of $1,138, you should get around $38, which is closer to the levelized capital cost for wind as we show in the report.)</t>
  </si>
  <si>
    <t>Cap $/MW with supply cost</t>
  </si>
  <si>
    <t>Table 1. Cost and performance characteristics of new central station electricity generating technologies</t>
  </si>
  <si>
    <t>Size (MW)</t>
  </si>
  <si>
    <t>Lead time (years)</t>
  </si>
  <si>
    <t>Ultra-supercritical coal (USC)</t>
  </si>
  <si>
    <t>USC with 30% carbon capture and sequestration (CCS)</t>
  </si>
  <si>
    <t>USC with 90% CCS</t>
  </si>
  <si>
    <t>Combined-cycle—single-shaft</t>
  </si>
  <si>
    <t>Combined-cycle—multi-shaft</t>
  </si>
  <si>
    <t>Combined-cycle with 90% CCS</t>
  </si>
  <si>
    <t>Internal combustion engine</t>
  </si>
  <si>
    <t>Combustion turbine—aeroderivativeh</t>
  </si>
  <si>
    <t>Combustion turbine—industrial frame</t>
  </si>
  <si>
    <t>Fuel cells</t>
  </si>
  <si>
    <t>Nuclear—light water reactor</t>
  </si>
  <si>
    <t>Nuclear—small modular reactor</t>
  </si>
  <si>
    <t>Distributed generation—base</t>
  </si>
  <si>
    <t>Distributed generation—peak</t>
  </si>
  <si>
    <t>Data source: Sargent &amp; Lundy, Cost and Performance Estimates for New Utility-Scale Electric Power Generating Technologies, December 2019; Hydroelectric: Oak Ridge National Lab, An Assessment of Energy Potential at Non-Powered Dams in the United States, 2012, and Idaho National Engineering and Environmental Laboratory, Estimation of Economic Parameters of U.S. Hydropower Resources, 2003; Geothermal: National Renewable Energy Laboratory, Updated U.S. Geothermal Supply Curve, 2010.</t>
  </si>
  <si>
    <t>Note: MW=megawatt, kW=kilowatt, MWh=megawatthour, kWy=kilowattyear, kWh=kilowatthour; Btu=British thermal unit; O&amp;M=operations and maintenance.</t>
  </si>
  <si>
    <t>a The first year that a new unit could become operational.</t>
  </si>
  <si>
    <t>Fixed O&amp;M (2022$/kWy)</t>
  </si>
  <si>
    <t>Heat rate(g) (Btu/kWh)</t>
  </si>
  <si>
    <t>b Base cost includes project contingency costs.</t>
  </si>
  <si>
    <t>c We apply the technological optimism factor to the first four units of a new, unproven design; it reflects the demonstrated tendency to underestimate actual costs for a first-of-a-kind unit.</t>
  </si>
  <si>
    <t>d Overnight capital cost includes contingency factors and excludes regional multipliers (except as noted for wind and solar PV) and learning effects. Interest charges are also excluded. The capital costs represent current costs for plants that would come online in 2023.</t>
  </si>
  <si>
    <t>e Total overnight cost for wind and solar PV technologies in the table are the average input value across all 25 electricity market regions, as weighted by the respective capacity of that type installed during 2021 in each region to account for the substantial regional variation in wind and solar costs (Table 2). The input value used for onshore wind in AEO2023 was $1,566 per kilowatt (kW), and for solar PV with tracking, it was $1,443/kW, which represents the cost of building a plant excluding regional factors. Region-specific factors contributing to the substantial regional variation in cost include differences in typical project size across regions, accessibility of resources, and variation in labor and other construction costs throughout the country.</t>
  </si>
  <si>
    <t>f The nuclear average heat rate is the weighted average tested heat rate for nuclear units as reported on the Form EIA-860, Annual Electric Generator Report. No heat rate is reported for battery storage because it is not a primary conversion technology; conversion losses are accounted for when the electricity is first generated, and electricity-to-storage losses are accounted for through the additional demand for electricity required to meet load. For hydropower, wind, solar, and geothermal technologies, no heat rate is reported because the power is generated without fuel combustion, and no set British thermal unit conversion factors exist. The module calculates the average heat rate for fossil-fuel generation in each year to report primary energy consumption displaced for these resources.</t>
  </si>
  <si>
    <t>g Combustion turbine aeroderivative units can be built by the module before 2024, if necessary, to meet a region's reserve margin.</t>
  </si>
  <si>
    <t>h Capital costs are shown before investment tax credits are applied.</t>
  </si>
  <si>
    <t>i Because geothermal and hydropower cost and performance characteristics are specific for each site, the table entries show the cost of the least expensive plant that could be built in the Northwest region for hydro and the Great Basin region for geothermal, where most of the proposed sites are located.</t>
  </si>
  <si>
    <t>j Costs and capacities are expressed in terms of net AC (alternating current) power available to the grid for the installed capacity.</t>
  </si>
  <si>
    <t>Geothermal(i, j)</t>
  </si>
  <si>
    <t>Solar photovoltaic (PV) with trackinge, (i, k)</t>
  </si>
  <si>
    <t>Solar PV with storage(i, k)</t>
  </si>
  <si>
    <t>Solar thermal(i)</t>
  </si>
  <si>
    <t>Wind offshore(i)</t>
  </si>
  <si>
    <t>Conventional hydropower(j)</t>
  </si>
  <si>
    <t>Total overnight cost(d,e) (2022$/kW)</t>
  </si>
  <si>
    <t>Cost and Performance Characteristics of New Generating Technologies, Annual Energy Outlook 2023</t>
  </si>
  <si>
    <t>https://www.eia.gov/outlooks/aeo/assumptions/pdf/elec_cost_perf.pdf</t>
  </si>
  <si>
    <t>Cap Cost 2023</t>
  </si>
  <si>
    <t>Line (Cap Cost 2023)</t>
  </si>
  <si>
    <t>First available year( a )</t>
  </si>
  <si>
    <t>Base overnight cost( b ) (2022$/kWh)</t>
  </si>
  <si>
    <t>Techno-logical optimism factor( c )</t>
  </si>
  <si>
    <t>Variable O&amp;M( f ) (2022$/ MWh)</t>
  </si>
  <si>
    <t>Wind( e )</t>
  </si>
  <si>
    <t>Cap Cost 2020 vs Cap Cost 2023</t>
  </si>
  <si>
    <t>Cap Cost 2023 vs EIA Outlook 2023</t>
  </si>
  <si>
    <t>Cap Cost 2020 vs EIA Outlook 2023</t>
  </si>
  <si>
    <t>Table 55 vs EIA Outlook 2023</t>
  </si>
  <si>
    <t>Fixed Cost ($/MWh of capacity)</t>
  </si>
  <si>
    <t>Analysis in Price_EIA_Calc.xlsx</t>
  </si>
  <si>
    <t>Estimating The Carbon Footprint Of Utility-Scale Battery Storage (forbes.com)</t>
  </si>
  <si>
    <t>Thus, the combination of the steps led to an overall carbon emissions range of 59-119 kg CO2-eq/kWh battery, with a midpoint of 89 kg CO2-eq/kWh. This is a cradle-to-gate number.</t>
  </si>
  <si>
    <t>of Capacity.  If we assume 800 cycles/battery:</t>
  </si>
  <si>
    <t>kg/kWh</t>
  </si>
  <si>
    <t>of running</t>
  </si>
  <si>
    <t>tonnes/MWh</t>
  </si>
  <si>
    <t>What are the safest and cleanest sources of energy? - Our World in Data</t>
  </si>
  <si>
    <t>Lifetime</t>
  </si>
  <si>
    <t>Param</t>
  </si>
  <si>
    <t>Capital Cost</t>
  </si>
  <si>
    <t>Fixed O&amp;M</t>
  </si>
  <si>
    <t>CO2</t>
  </si>
  <si>
    <t>Units</t>
  </si>
  <si>
    <t>Years</t>
  </si>
  <si>
    <t>$/MW ($/MWh of capacity for Storage)</t>
  </si>
  <si>
    <t>$/MW-year ($/MWh-year of Capacity for storage)</t>
  </si>
  <si>
    <t>Variable O&amp;M + Fuel</t>
  </si>
  <si>
    <t>$/MWh produced</t>
  </si>
  <si>
    <t>Tonnes/MWh</t>
  </si>
  <si>
    <t>Fixed Cost M$/MW-year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</si>
</sst>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164" formatCode="&quot;$&quot;#,##0.00"/>
    <numFmt numFmtId="165" formatCode="#,##0.000000"/>
    <numFmt numFmtId="166" formatCode="0.000"/>
    <numFmt numFmtId="167" formatCode="#,##0.000"/>
    <numFmt numFmtId="168" formatCode="#,##0.0000"/>
  </numFmts>
  <fonts count="15" x14ac:knownFonts="1">
    <font>
      <sz val="11"/>
      <color theme="1"/>
      <name val="Calibri"/>
      <family val="2"/>
      <scheme val="minor"/>
    </font>
    <font>
      <sz val="11"/>
      <color theme="1"/>
      <name val="Calibri"/>
      <family val="2"/>
      <scheme val="minor"/>
    </font>
    <font>
      <u/>
      <sz val="11"/>
      <color theme="10"/>
      <name val="Calibri"/>
      <family val="2"/>
      <scheme val="minor"/>
    </font>
    <font>
      <sz val="9"/>
      <color theme="1"/>
      <name val="Calibri"/>
      <family val="2"/>
      <scheme val="minor"/>
    </font>
    <font>
      <b/>
      <sz val="12"/>
      <color theme="4"/>
      <name val="Calibri"/>
      <family val="2"/>
      <scheme val="minor"/>
    </font>
    <font>
      <b/>
      <sz val="9"/>
      <color theme="1"/>
      <name val="Calibri"/>
      <family val="2"/>
      <scheme val="minor"/>
    </font>
    <font>
      <i/>
      <sz val="9"/>
      <color theme="0" tint="-0.34998626667073579"/>
      <name val="Calibri"/>
      <family val="2"/>
      <scheme val="minor"/>
    </font>
    <font>
      <i/>
      <sz val="9"/>
      <color theme="1"/>
      <name val="Calibri"/>
      <family val="2"/>
      <scheme val="minor"/>
    </font>
    <font>
      <b/>
      <sz val="9"/>
      <color indexed="81"/>
      <name val="Tahoma"/>
      <family val="2"/>
    </font>
    <font>
      <sz val="9"/>
      <color indexed="81"/>
      <name val="Tahoma"/>
      <family val="2"/>
    </font>
    <font>
      <u/>
      <sz val="10"/>
      <color theme="4"/>
      <name val="Calibri"/>
      <family val="2"/>
      <scheme val="minor"/>
    </font>
    <font>
      <u/>
      <sz val="11"/>
      <color theme="6"/>
      <name val="Calibri"/>
      <family val="2"/>
    </font>
    <font>
      <b/>
      <sz val="11"/>
      <color theme="1"/>
      <name val="Calibri"/>
      <family val="2"/>
      <scheme val="minor"/>
    </font>
    <font>
      <sz val="11"/>
      <color rgb="FF404040"/>
      <name val="Calibri Light"/>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right/>
      <top/>
      <bottom style="thick">
        <color theme="4"/>
      </bottom>
      <diagonal/>
    </border>
    <border>
      <left/>
      <right/>
      <top style="thin">
        <color theme="4"/>
      </top>
      <bottom style="thin">
        <color theme="0" tint="-0.24994659260841701"/>
      </bottom>
      <diagonal/>
    </border>
    <border>
      <left/>
      <right/>
      <top/>
      <bottom style="dashed">
        <color theme="0" tint="-0.24994659260841701"/>
      </bottom>
      <diagonal/>
    </border>
    <border>
      <left style="thin">
        <color auto="1"/>
      </left>
      <right style="thin">
        <color auto="1"/>
      </right>
      <top style="thin">
        <color auto="1"/>
      </top>
      <bottom style="thin">
        <color auto="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style="thick">
        <color theme="0"/>
      </left>
      <right style="thick">
        <color theme="0"/>
      </right>
      <top/>
      <bottom style="thin">
        <color theme="0" tint="-0.24994659260841701"/>
      </bottom>
      <diagonal/>
    </border>
  </borders>
  <cellStyleXfs count="16">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0" applyNumberFormat="0" applyProtection="0">
      <alignment horizontal="left"/>
    </xf>
    <xf numFmtId="0" fontId="5" fillId="0" borderId="1" applyNumberFormat="0" applyProtection="0">
      <alignment wrapText="1"/>
    </xf>
    <xf numFmtId="0" fontId="5" fillId="0" borderId="2" applyNumberFormat="0" applyFill="0" applyProtection="0">
      <alignment wrapText="1"/>
    </xf>
    <xf numFmtId="0" fontId="3" fillId="0" borderId="3" applyNumberFormat="0" applyFont="0" applyProtection="0">
      <alignment wrapText="1"/>
    </xf>
    <xf numFmtId="9" fontId="1" fillId="0" borderId="0" applyFont="0" applyFill="0" applyBorder="0" applyAlignment="0" applyProtection="0"/>
    <xf numFmtId="0" fontId="3" fillId="0" borderId="5" applyNumberFormat="0" applyProtection="0">
      <alignment vertical="top"/>
    </xf>
    <xf numFmtId="0" fontId="5" fillId="0" borderId="8" applyNumberFormat="0" applyProtection="0">
      <alignment horizontal="left" wrapText="1"/>
    </xf>
    <xf numFmtId="0" fontId="5" fillId="0" borderId="6" applyNumberFormat="0" applyProtection="0">
      <alignment wrapText="1"/>
    </xf>
    <xf numFmtId="0" fontId="3" fillId="0" borderId="5" applyNumberFormat="0" applyProtection="0">
      <alignment vertical="top" wrapText="1"/>
    </xf>
    <xf numFmtId="0" fontId="3" fillId="0" borderId="7" applyNumberFormat="0" applyFont="0" applyFill="0" applyProtection="0">
      <alignment wrapText="1"/>
    </xf>
    <xf numFmtId="0" fontId="10"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3" fillId="0" borderId="0" applyNumberFormat="0" applyProtection="0">
      <alignment vertical="top" wrapText="1"/>
    </xf>
  </cellStyleXfs>
  <cellXfs count="48">
    <xf numFmtId="0" fontId="0" fillId="0" borderId="0" xfId="0"/>
    <xf numFmtId="0" fontId="2" fillId="0" borderId="0" xfId="1"/>
    <xf numFmtId="0" fontId="3" fillId="0" borderId="0" xfId="2"/>
    <xf numFmtId="0" fontId="4" fillId="0" borderId="0" xfId="3">
      <alignment horizontal="left"/>
    </xf>
    <xf numFmtId="0" fontId="5" fillId="0" borderId="1" xfId="4">
      <alignment wrapText="1"/>
    </xf>
    <xf numFmtId="0" fontId="5" fillId="0" borderId="2" xfId="5">
      <alignment wrapText="1"/>
    </xf>
    <xf numFmtId="0" fontId="3" fillId="0" borderId="3" xfId="6" applyAlignment="1">
      <alignment horizontal="left" wrapText="1" indent="1"/>
    </xf>
    <xf numFmtId="9" fontId="3" fillId="0" borderId="3" xfId="7" applyFont="1" applyBorder="1" applyAlignment="1">
      <alignment wrapText="1"/>
    </xf>
    <xf numFmtId="164" fontId="3" fillId="0" borderId="3" xfId="6" applyNumberFormat="1">
      <alignment wrapText="1"/>
    </xf>
    <xf numFmtId="164" fontId="6" fillId="0" borderId="3" xfId="6" applyNumberFormat="1" applyFont="1" applyAlignment="1">
      <alignment horizontal="right" wrapText="1"/>
    </xf>
    <xf numFmtId="0" fontId="3" fillId="0" borderId="4" xfId="2" applyBorder="1"/>
    <xf numFmtId="164" fontId="3" fillId="0" borderId="4" xfId="2" applyNumberFormat="1" applyBorder="1"/>
    <xf numFmtId="0" fontId="3" fillId="0" borderId="0" xfId="2" quotePrefix="1"/>
    <xf numFmtId="0" fontId="5" fillId="0" borderId="2" xfId="5" applyAlignment="1"/>
    <xf numFmtId="1" fontId="5" fillId="0" borderId="2" xfId="5" applyNumberFormat="1">
      <alignment wrapText="1"/>
    </xf>
    <xf numFmtId="164" fontId="5" fillId="0" borderId="2" xfId="5" applyNumberFormat="1">
      <alignment wrapText="1"/>
    </xf>
    <xf numFmtId="0" fontId="3" fillId="0" borderId="5" xfId="8">
      <alignment vertical="top"/>
    </xf>
    <xf numFmtId="0" fontId="3" fillId="0" borderId="5" xfId="2" applyBorder="1" applyAlignment="1">
      <alignment vertical="top" wrapText="1"/>
    </xf>
    <xf numFmtId="0" fontId="3" fillId="0" borderId="0" xfId="2" applyBorder="1" applyAlignment="1">
      <alignment vertical="top" wrapText="1"/>
    </xf>
    <xf numFmtId="165" fontId="3" fillId="0" borderId="3" xfId="6" applyNumberFormat="1">
      <alignment wrapText="1"/>
    </xf>
    <xf numFmtId="0" fontId="3" fillId="2" borderId="0" xfId="2" applyFill="1"/>
    <xf numFmtId="0" fontId="5" fillId="2" borderId="1" xfId="4" applyFill="1">
      <alignment wrapText="1"/>
    </xf>
    <xf numFmtId="0" fontId="5" fillId="2" borderId="2" xfId="5" applyFill="1">
      <alignment wrapText="1"/>
    </xf>
    <xf numFmtId="164" fontId="3" fillId="2" borderId="3" xfId="6" applyNumberFormat="1" applyFill="1">
      <alignment wrapText="1"/>
    </xf>
    <xf numFmtId="164" fontId="5" fillId="2" borderId="2" xfId="5" applyNumberFormat="1" applyFill="1">
      <alignment wrapText="1"/>
    </xf>
    <xf numFmtId="0" fontId="3" fillId="2" borderId="0" xfId="2" applyFill="1" applyBorder="1" applyAlignment="1">
      <alignment vertical="top" wrapText="1"/>
    </xf>
    <xf numFmtId="10" fontId="0" fillId="0" borderId="0" xfId="0" applyNumberFormat="1"/>
    <xf numFmtId="9" fontId="0" fillId="0" borderId="0" xfId="0" applyNumberFormat="1"/>
    <xf numFmtId="0" fontId="0" fillId="0" borderId="0" xfId="0" applyAlignment="1">
      <alignment wrapText="1"/>
    </xf>
    <xf numFmtId="3" fontId="0" fillId="0" borderId="0" xfId="0" applyNumberFormat="1"/>
    <xf numFmtId="8" fontId="0" fillId="0" borderId="0" xfId="0" applyNumberFormat="1"/>
    <xf numFmtId="4" fontId="0" fillId="0" borderId="0" xfId="0" applyNumberFormat="1"/>
    <xf numFmtId="167" fontId="0" fillId="0" borderId="0" xfId="0" applyNumberFormat="1"/>
    <xf numFmtId="1" fontId="3" fillId="0" borderId="0" xfId="2" applyNumberFormat="1"/>
    <xf numFmtId="166" fontId="3" fillId="0" borderId="0" xfId="2" applyNumberFormat="1"/>
    <xf numFmtId="0" fontId="12" fillId="0" borderId="0" xfId="0" applyFont="1"/>
    <xf numFmtId="0" fontId="12" fillId="0" borderId="0" xfId="0" applyFont="1" applyAlignment="1">
      <alignment wrapText="1"/>
    </xf>
    <xf numFmtId="3" fontId="12" fillId="0" borderId="0" xfId="0" applyNumberFormat="1" applyFont="1"/>
    <xf numFmtId="168" fontId="0" fillId="0" borderId="0" xfId="0" applyNumberFormat="1"/>
    <xf numFmtId="0" fontId="13" fillId="0" borderId="0" xfId="0" applyFont="1" applyAlignment="1">
      <alignment vertical="center" wrapText="1"/>
    </xf>
    <xf numFmtId="6" fontId="14" fillId="0" borderId="0" xfId="0" applyNumberFormat="1" applyFont="1" applyAlignment="1">
      <alignment horizontal="right" vertical="center" wrapText="1"/>
    </xf>
    <xf numFmtId="9" fontId="12" fillId="0" borderId="0" xfId="0" applyNumberFormat="1" applyFont="1"/>
    <xf numFmtId="167" fontId="12" fillId="0" borderId="0" xfId="0" applyNumberFormat="1" applyFont="1"/>
    <xf numFmtId="8" fontId="12" fillId="0" borderId="0" xfId="0" applyNumberFormat="1" applyFont="1"/>
    <xf numFmtId="3" fontId="0" fillId="2" borderId="0" xfId="0" applyNumberFormat="1" applyFill="1"/>
    <xf numFmtId="4" fontId="0" fillId="2" borderId="0" xfId="0" applyNumberFormat="1" applyFill="1"/>
    <xf numFmtId="0" fontId="0" fillId="0" borderId="0" xfId="0" applyAlignment="1">
      <alignment wrapText="1"/>
    </xf>
    <xf numFmtId="8" fontId="12" fillId="0" borderId="0" xfId="0" applyNumberFormat="1" applyFont="1" applyAlignment="1">
      <alignment wrapText="1"/>
    </xf>
  </cellXfs>
  <cellStyles count="16">
    <cellStyle name="Body: normal cell" xfId="6" xr:uid="{24F16D14-8275-47C5-94FA-1B906F99885A}"/>
    <cellStyle name="Followed Hyperlink 2" xfId="14" xr:uid="{5A1B404F-9342-4C2C-B1AA-53800D22C3A2}"/>
    <cellStyle name="Font: Calibri, 9pt regular" xfId="2" xr:uid="{44B57EED-B24F-4663-849E-C35DE4EFB123}"/>
    <cellStyle name="Footnotes: all except top row" xfId="15" xr:uid="{7DA694EF-F19C-4BBF-8F18-185C7EC6DC1F}"/>
    <cellStyle name="Footnotes: top row" xfId="11" xr:uid="{8AEAC21B-E38A-4C0C-BB24-5C2DD1FF2CFD}"/>
    <cellStyle name="Footnotes: top row 2" xfId="8" xr:uid="{F0FCCBA2-20F6-451C-9840-2C006691BE8D}"/>
    <cellStyle name="Header: bottom row" xfId="4" xr:uid="{BCDB0237-0FDA-437C-89A8-8F947DC50D23}"/>
    <cellStyle name="Header: top rows" xfId="9" xr:uid="{9AD507B5-442E-47DE-A4D7-7A6053D9952F}"/>
    <cellStyle name="Hyperlink" xfId="1" builtinId="8"/>
    <cellStyle name="Hyperlink 2" xfId="13" xr:uid="{6FC08A30-B774-41A1-AFC9-7279D9E72F8C}"/>
    <cellStyle name="Normal" xfId="0" builtinId="0"/>
    <cellStyle name="Parent row" xfId="10" xr:uid="{62523836-41B9-4598-A0BA-7649B01B8F24}"/>
    <cellStyle name="Percent 2" xfId="7" xr:uid="{3E2B8C1B-2BB1-4D38-BF60-454BB1052243}"/>
    <cellStyle name="Section Break" xfId="12" xr:uid="{B86DAD78-1CBA-4885-88D7-98916F7B81A8}"/>
    <cellStyle name="Section Break: parent row" xfId="5" xr:uid="{BB6459BC-64ED-4281-B125-72C0400B483F}"/>
    <cellStyle name="Table title" xfId="3" xr:uid="{9E7DA887-A9C4-4F9B-98D2-335628DC650C}"/>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81857E3F-E685-40DE-8334-D3EB61890AAE}">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97972</xdr:colOff>
      <xdr:row>1</xdr:row>
      <xdr:rowOff>53456</xdr:rowOff>
    </xdr:from>
    <xdr:to>
      <xdr:col>15</xdr:col>
      <xdr:colOff>89808</xdr:colOff>
      <xdr:row>13</xdr:row>
      <xdr:rowOff>168534</xdr:rowOff>
    </xdr:to>
    <xdr:pic>
      <xdr:nvPicPr>
        <xdr:cNvPr id="2" name="Picture 1">
          <a:extLst>
            <a:ext uri="{FF2B5EF4-FFF2-40B4-BE49-F238E27FC236}">
              <a16:creationId xmlns:a16="http://schemas.microsoft.com/office/drawing/2014/main" id="{1AFBF844-DC47-876E-6D7C-79F72BB4F034}"/>
            </a:ext>
          </a:extLst>
        </xdr:cNvPr>
        <xdr:cNvPicPr>
          <a:picLocks noChangeAspect="1"/>
        </xdr:cNvPicPr>
      </xdr:nvPicPr>
      <xdr:blipFill>
        <a:blip xmlns:r="http://schemas.openxmlformats.org/officeDocument/2006/relationships" r:embed="rId1"/>
        <a:stretch>
          <a:fillRect/>
        </a:stretch>
      </xdr:blipFill>
      <xdr:spPr>
        <a:xfrm>
          <a:off x="5148943" y="238513"/>
          <a:ext cx="4411436" cy="27140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4</xdr:row>
      <xdr:rowOff>0</xdr:rowOff>
    </xdr:from>
    <xdr:to>
      <xdr:col>14</xdr:col>
      <xdr:colOff>307662</xdr:colOff>
      <xdr:row>7</xdr:row>
      <xdr:rowOff>141533</xdr:rowOff>
    </xdr:to>
    <xdr:pic>
      <xdr:nvPicPr>
        <xdr:cNvPr id="2" name="Picture 1" descr="A black text with black text&#10;&#10;Description automatically generated with medium confidence">
          <a:extLst>
            <a:ext uri="{FF2B5EF4-FFF2-40B4-BE49-F238E27FC236}">
              <a16:creationId xmlns:a16="http://schemas.microsoft.com/office/drawing/2014/main" id="{1867883D-4538-4544-70D7-175421CDCEA0}"/>
            </a:ext>
          </a:extLst>
        </xdr:cNvPr>
        <xdr:cNvPicPr>
          <a:picLocks noChangeAspect="1"/>
        </xdr:cNvPicPr>
      </xdr:nvPicPr>
      <xdr:blipFill>
        <a:blip xmlns:r="http://schemas.openxmlformats.org/officeDocument/2006/relationships" r:embed="rId1"/>
        <a:stretch>
          <a:fillRect/>
        </a:stretch>
      </xdr:blipFill>
      <xdr:spPr>
        <a:xfrm>
          <a:off x="3788229" y="1012371"/>
          <a:ext cx="5358633" cy="70486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ourworldindata.org/safest-sources-of-energy" TargetMode="External"/><Relationship Id="rId1" Type="http://schemas.openxmlformats.org/officeDocument/2006/relationships/hyperlink" Target="https://www.forbes.com/sites/rrapier/2020/02/16/estimating-the-carbon-footprint-of-utility-scale-battery-storage/?sh=4b31ab6c7adb"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eia.gov/outlooks/aeo/electricity_generation/xls/AEO2023_LCOE-LCOS-LACE_figures.xlsx"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ia.gov/outlooks/aeo/assumptions/pdf/elec_cost_perf.pdf"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eia.gov/analysis/studies/powerplants/capitalcost/pdf/capital_cost_AEO2020.pdf"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eia.gov/outlooks/aeo/data/browser/"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eia.gov/outlooks/aeo/electricity_generation/pdf/AEO2023_LCOE_repor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16525-0E36-45B1-8E5D-2F3695B34D2E}">
  <dimension ref="A1:U195"/>
  <sheetViews>
    <sheetView tabSelected="1" workbookViewId="0">
      <selection activeCell="H3" sqref="H3"/>
    </sheetView>
  </sheetViews>
  <sheetFormatPr defaultRowHeight="14.6" x14ac:dyDescent="0.85"/>
  <cols>
    <col min="1" max="1" width="29.61328125" customWidth="1"/>
    <col min="2" max="2" width="15.8046875" style="29" customWidth="1"/>
    <col min="3" max="3" width="9.53515625" bestFit="1" customWidth="1"/>
    <col min="4" max="5" width="14.53515625" customWidth="1"/>
    <col min="6" max="6" width="16.8828125" customWidth="1"/>
    <col min="7" max="10" width="14.53515625" customWidth="1"/>
    <col min="13" max="13" width="15.61328125" customWidth="1"/>
    <col min="14" max="14" width="12.765625" bestFit="1" customWidth="1"/>
  </cols>
  <sheetData>
    <row r="1" spans="1:14" ht="14.65" x14ac:dyDescent="0.85">
      <c r="B1" s="29" t="s">
        <v>62</v>
      </c>
      <c r="C1" t="s">
        <v>74</v>
      </c>
      <c r="D1" t="s">
        <v>55</v>
      </c>
      <c r="E1" t="s">
        <v>56</v>
      </c>
      <c r="F1" t="s">
        <v>53</v>
      </c>
      <c r="G1" t="s">
        <v>64</v>
      </c>
    </row>
    <row r="3" spans="1:14" s="35" customFormat="1" ht="33.4" customHeight="1" x14ac:dyDescent="0.85">
      <c r="A3" s="35" t="s">
        <v>168</v>
      </c>
      <c r="B3" s="36" t="str">
        <f ca="1">OFFSET('Table 55'!$A$6,B$4,0)</f>
        <v>Solar Photovoltaic with Axis Tracking</v>
      </c>
      <c r="C3" s="36" t="str">
        <f ca="1">OFFSET('Table 55'!$A$6,C$4,0)</f>
        <v>Wind</v>
      </c>
      <c r="D3" s="36" t="str">
        <f ca="1">OFFSET('Table 55'!$A$6,D$4,0)</f>
        <v>Light Water Reactor</v>
      </c>
      <c r="E3" s="36" t="str">
        <f ca="1">OFFSET('Table 55'!$A$6,E$4,0)</f>
        <v>Combined Cycle - Single Shaft</v>
      </c>
      <c r="F3" s="36" t="str">
        <f ca="1">OFFSET('Table 55'!$A$6,F$4,0)</f>
        <v>Ultra-supercritical (USC) Coal</v>
      </c>
      <c r="G3" s="36" t="str">
        <f ca="1">OFFSET('Table 55'!$A$6,G$4,0)</f>
        <v>Diurnal Storage</v>
      </c>
      <c r="H3" s="47"/>
      <c r="I3" s="36"/>
      <c r="J3" s="36"/>
      <c r="K3" s="36"/>
      <c r="L3" s="35" t="s">
        <v>71</v>
      </c>
      <c r="M3" s="35">
        <v>0.11</v>
      </c>
    </row>
    <row r="4" spans="1:14" ht="14.65" x14ac:dyDescent="0.85">
      <c r="A4" t="s">
        <v>164</v>
      </c>
      <c r="B4" s="29">
        <v>21</v>
      </c>
      <c r="C4" s="29">
        <v>23</v>
      </c>
      <c r="D4" s="29">
        <v>13</v>
      </c>
      <c r="E4" s="29">
        <v>5</v>
      </c>
      <c r="F4" s="29">
        <v>1</v>
      </c>
      <c r="G4" s="29">
        <v>25</v>
      </c>
      <c r="H4" s="29"/>
      <c r="I4" s="29"/>
      <c r="J4" s="29"/>
    </row>
    <row r="5" spans="1:14" ht="14.65" x14ac:dyDescent="0.85">
      <c r="A5" t="s">
        <v>167</v>
      </c>
      <c r="B5" s="29">
        <f ca="1">OFFSET('Table 55'!$L$6,B$4,0)</f>
        <v>1039.311768</v>
      </c>
      <c r="C5" s="29">
        <f ca="1">OFFSET('Table 55'!$L$6,C$4,0)</f>
        <v>1338.489014</v>
      </c>
      <c r="D5" s="29">
        <f ca="1">OFFSET('Table 55'!$L$6,D$4,0)</f>
        <v>6425.9267579999996</v>
      </c>
      <c r="E5" s="29">
        <f ca="1">OFFSET('Table 55'!$L$6,E$4,0)</f>
        <v>1118.189453</v>
      </c>
      <c r="F5" s="29">
        <f ca="1">OFFSET('Table 55'!$L$6,F$4,0)</f>
        <v>3789.1108399999998</v>
      </c>
      <c r="G5" s="29">
        <f ca="1">OFFSET('Table 55'!$L$6,G$4,0)</f>
        <v>776.07074</v>
      </c>
      <c r="H5" s="29"/>
      <c r="I5" s="29"/>
      <c r="J5" s="29"/>
      <c r="L5" t="s">
        <v>72</v>
      </c>
      <c r="M5" s="29">
        <v>4</v>
      </c>
      <c r="N5" t="s">
        <v>73</v>
      </c>
    </row>
    <row r="6" spans="1:14" ht="14.65" x14ac:dyDescent="0.85">
      <c r="A6" t="s">
        <v>69</v>
      </c>
      <c r="B6" s="29">
        <f ca="1">B5*1000</f>
        <v>1039311.768</v>
      </c>
      <c r="C6" s="29">
        <f t="shared" ref="C6:G6" ca="1" si="0">C5*1000</f>
        <v>1338489.014</v>
      </c>
      <c r="D6" s="29">
        <f t="shared" ca="1" si="0"/>
        <v>6425926.7579999994</v>
      </c>
      <c r="E6" s="29">
        <f t="shared" ca="1" si="0"/>
        <v>1118189.453</v>
      </c>
      <c r="F6" s="29">
        <f t="shared" ca="1" si="0"/>
        <v>3789110.84</v>
      </c>
      <c r="G6" s="29">
        <f t="shared" ca="1" si="0"/>
        <v>776070.74</v>
      </c>
      <c r="H6" s="29"/>
      <c r="I6" s="29"/>
      <c r="J6" s="29"/>
    </row>
    <row r="7" spans="1:14" ht="14.65" x14ac:dyDescent="0.85">
      <c r="A7" t="s">
        <v>241</v>
      </c>
      <c r="C7" s="29"/>
      <c r="D7" s="29"/>
      <c r="E7" s="29"/>
      <c r="F7" s="29"/>
      <c r="G7" s="29">
        <f ca="1">G6/4</f>
        <v>194017.685</v>
      </c>
      <c r="H7" s="29"/>
      <c r="I7" s="29"/>
      <c r="J7" s="29"/>
    </row>
    <row r="8" spans="1:14" ht="14.65" x14ac:dyDescent="0.85">
      <c r="C8" s="29"/>
      <c r="D8" s="29"/>
      <c r="E8" s="29"/>
      <c r="F8" s="29"/>
      <c r="G8" s="29"/>
      <c r="H8" s="29"/>
      <c r="I8" s="29"/>
      <c r="J8" s="29"/>
    </row>
    <row r="9" spans="1:14" s="35" customFormat="1" ht="14.65" x14ac:dyDescent="0.85">
      <c r="A9" s="35" t="s">
        <v>234</v>
      </c>
      <c r="B9" s="37" t="str">
        <f ca="1">OFFSET('Cap cost 2020'!$B$3,B$10,0)</f>
        <v>Solar PV w/ Single Axis Tracking</v>
      </c>
      <c r="C9" s="37" t="str">
        <f ca="1">OFFSET('Cap cost 2020'!$B$3,C$10,0)</f>
        <v>Onshore Wind – Large Plant Footprint: Great Plains Region</v>
      </c>
      <c r="D9" s="37" t="str">
        <f ca="1">OFFSET('Cap cost 2020'!$B$3,D$10,0)</f>
        <v>Advanced Nuclear (Brownfield)</v>
      </c>
      <c r="E9" s="37" t="str">
        <f ca="1">OFFSET('Cap cost 2020'!$B$3,E$10,0)</f>
        <v>Combined-Cycle 1x1x1, Single Shaft</v>
      </c>
      <c r="F9" s="37" t="str">
        <f ca="1">OFFSET('Cap cost 2020'!$B$3,F$10,0)</f>
        <v>650 MW Net, Ultra-Supercritical Coal w/o Carbon Capture – Greenfield</v>
      </c>
      <c r="G9" s="37" t="str">
        <f ca="1">OFFSET('Cap cost 2020'!$B$3,G$10,0)</f>
        <v>Battery Energy Storage System</v>
      </c>
      <c r="H9" s="37"/>
      <c r="I9" s="37"/>
      <c r="J9" s="37"/>
    </row>
    <row r="10" spans="1:14" ht="14.65" x14ac:dyDescent="0.85">
      <c r="A10" t="s">
        <v>242</v>
      </c>
      <c r="B10" s="29">
        <v>24</v>
      </c>
      <c r="C10" s="29">
        <v>20</v>
      </c>
      <c r="D10" s="29">
        <v>11</v>
      </c>
      <c r="E10" s="29">
        <v>8</v>
      </c>
      <c r="F10" s="29">
        <v>1</v>
      </c>
      <c r="G10" s="29">
        <v>18</v>
      </c>
      <c r="H10" s="29"/>
      <c r="I10" s="29"/>
      <c r="J10" s="29"/>
    </row>
    <row r="11" spans="1:14" ht="14.65" x14ac:dyDescent="0.85">
      <c r="A11" t="s">
        <v>243</v>
      </c>
      <c r="B11" s="29">
        <f ca="1">OFFSET('Cap cost 2020'!$F$3,B$10,0)</f>
        <v>1313</v>
      </c>
      <c r="C11" s="29">
        <f ca="1">OFFSET('Cap cost 2020'!$F$3,C$10,0)</f>
        <v>1265</v>
      </c>
      <c r="D11" s="29">
        <f ca="1">OFFSET('Cap cost 2020'!$F$3,D$10,0)</f>
        <v>6041</v>
      </c>
      <c r="E11" s="29">
        <f ca="1">OFFSET('Cap cost 2020'!$F$3,E$10,0)</f>
        <v>1084</v>
      </c>
      <c r="F11" s="29">
        <f ca="1">OFFSET('Cap cost 2020'!$F$3,F$10,0)</f>
        <v>3676</v>
      </c>
      <c r="G11" s="29" t="str">
        <f ca="1">OFFSET('Cap cost 2020'!$F$3,G$10,0)</f>
        <v>1389 (347 $/kWh)</v>
      </c>
      <c r="H11" s="29"/>
      <c r="I11" s="29"/>
      <c r="J11" s="29"/>
    </row>
    <row r="12" spans="1:14" ht="14.65" x14ac:dyDescent="0.85">
      <c r="A12" t="s">
        <v>69</v>
      </c>
      <c r="B12" s="29">
        <f ca="1">B11*1000</f>
        <v>1313000</v>
      </c>
      <c r="C12" s="29">
        <f t="shared" ref="C12:F12" ca="1" si="1">C11*1000</f>
        <v>1265000</v>
      </c>
      <c r="D12" s="29">
        <f t="shared" ca="1" si="1"/>
        <v>6041000</v>
      </c>
      <c r="E12" s="29">
        <f t="shared" ca="1" si="1"/>
        <v>1084000</v>
      </c>
      <c r="F12" s="29">
        <f t="shared" ca="1" si="1"/>
        <v>3676000</v>
      </c>
      <c r="G12" s="29">
        <f ca="1">VALUE(LEFT(G11,5))*1000</f>
        <v>1389000</v>
      </c>
      <c r="H12" s="29"/>
      <c r="I12" s="29"/>
      <c r="J12" s="29"/>
    </row>
    <row r="13" spans="1:14" ht="14.65" x14ac:dyDescent="0.85">
      <c r="A13" t="s">
        <v>241</v>
      </c>
      <c r="C13" s="29"/>
      <c r="D13" s="29"/>
      <c r="E13" s="29"/>
      <c r="F13" s="29"/>
      <c r="G13" s="29">
        <f ca="1">G12/4</f>
        <v>347250</v>
      </c>
      <c r="H13" s="29"/>
      <c r="I13" s="29"/>
      <c r="J13" s="29"/>
    </row>
    <row r="14" spans="1:14" s="31" customFormat="1" ht="14.65" x14ac:dyDescent="0.85">
      <c r="A14" s="31" t="s">
        <v>253</v>
      </c>
      <c r="B14" s="31">
        <f ca="1">OFFSET('Cap cost 2020'!$G$3,B$10,0)</f>
        <v>15.25</v>
      </c>
      <c r="C14" s="31">
        <f ca="1">OFFSET('Cap cost 2020'!$G$3,C$10,0)</f>
        <v>26.34</v>
      </c>
      <c r="D14" s="31">
        <f ca="1">OFFSET('Cap cost 2020'!$G$3,D$10,0)</f>
        <v>121.64</v>
      </c>
      <c r="E14" s="31">
        <f ca="1">OFFSET('Cap cost 2020'!$G$3,E$10,0)</f>
        <v>14.1</v>
      </c>
      <c r="F14" s="31">
        <f ca="1">OFFSET('Cap cost 2020'!$G$3,F$10,0)</f>
        <v>40.58</v>
      </c>
      <c r="G14" s="31">
        <f ca="1">OFFSET('Cap cost 2020'!$G$3,G$10,0)</f>
        <v>24.8</v>
      </c>
    </row>
    <row r="15" spans="1:14" s="29" customFormat="1" ht="14.65" x14ac:dyDescent="0.85">
      <c r="A15" s="29" t="s">
        <v>330</v>
      </c>
      <c r="B15" s="29">
        <f ca="1">B14*1000</f>
        <v>15250</v>
      </c>
      <c r="C15" s="29">
        <f t="shared" ref="C15:G15" ca="1" si="2">C14*1000</f>
        <v>26340</v>
      </c>
      <c r="D15" s="29">
        <f t="shared" ca="1" si="2"/>
        <v>121640</v>
      </c>
      <c r="E15" s="29">
        <f t="shared" ca="1" si="2"/>
        <v>14100</v>
      </c>
      <c r="F15" s="29">
        <f t="shared" ca="1" si="2"/>
        <v>40580</v>
      </c>
      <c r="G15" s="29">
        <f t="shared" ca="1" si="2"/>
        <v>24800</v>
      </c>
    </row>
    <row r="16" spans="1:14" ht="14.65" x14ac:dyDescent="0.85">
      <c r="A16" t="s">
        <v>236</v>
      </c>
      <c r="B16" s="31">
        <f ca="1">OFFSET('Cap cost 2020'!$H$3,B$10,0)</f>
        <v>0</v>
      </c>
      <c r="C16" s="31">
        <f ca="1">OFFSET('Cap cost 2020'!$H$3,C$10,0)</f>
        <v>0</v>
      </c>
      <c r="D16" s="31">
        <f ca="1">OFFSET('Cap cost 2020'!$H$3,D$10,0)</f>
        <v>2.37</v>
      </c>
      <c r="E16" s="31">
        <f ca="1">OFFSET('Cap cost 2020'!$H$3,E$10,0)</f>
        <v>2.5499999999999998</v>
      </c>
      <c r="F16" s="31">
        <f ca="1">OFFSET('Cap cost 2020'!$H$3,F$10,0)</f>
        <v>4.5</v>
      </c>
      <c r="G16" s="31">
        <f ca="1">OFFSET('Cap cost 2020'!$H$3,G$10,0)</f>
        <v>0</v>
      </c>
      <c r="H16" s="29"/>
      <c r="I16" s="29"/>
      <c r="J16" s="29"/>
    </row>
    <row r="17" spans="1:17" ht="14.65" x14ac:dyDescent="0.85">
      <c r="A17" t="s">
        <v>318</v>
      </c>
      <c r="B17" s="44">
        <f ca="1">OFFSET('Cap cost 2020'!$L$3,B$10,0)</f>
        <v>30</v>
      </c>
      <c r="C17" s="44">
        <f ca="1">OFFSET('Cap cost 2020'!$L$3,C$10,0)</f>
        <v>25</v>
      </c>
      <c r="D17" s="44">
        <f ca="1">OFFSET('Cap cost 2020'!$L$3,D$10,0)</f>
        <v>40</v>
      </c>
      <c r="E17" s="44">
        <f ca="1">OFFSET('Cap cost 2020'!$L$3,E$10,0)</f>
        <v>25</v>
      </c>
      <c r="F17" s="44">
        <f ca="1">OFFSET('Cap cost 2020'!$L$3,F$10,0)</f>
        <v>40</v>
      </c>
      <c r="G17" s="44">
        <f ca="1">OFFSET('Cap cost 2020'!$L$3,G$10,0)</f>
        <v>10</v>
      </c>
      <c r="H17" s="29"/>
      <c r="I17" s="29"/>
      <c r="J17" s="29"/>
    </row>
    <row r="18" spans="1:17" ht="14.65" x14ac:dyDescent="0.85">
      <c r="C18" s="29"/>
      <c r="D18" s="29"/>
      <c r="E18" s="29"/>
      <c r="F18" s="29"/>
      <c r="G18" s="29"/>
      <c r="H18" s="29"/>
      <c r="I18" s="29"/>
      <c r="J18" s="29"/>
    </row>
    <row r="19" spans="1:17" s="35" customFormat="1" ht="14.65" x14ac:dyDescent="0.85">
      <c r="A19" s="35" t="s">
        <v>298</v>
      </c>
      <c r="B19" s="37" t="str">
        <f ca="1">OFFSET('Cap cost 2023'!$A$5,B$20,0)</f>
        <v>Solar photovoltaic (PV) with trackinge, (i, k)</v>
      </c>
      <c r="C19" s="37" t="str">
        <f ca="1">OFFSET('Cap cost 2023'!$A$5,C$20,0)</f>
        <v>Wind( e )</v>
      </c>
      <c r="D19" s="37" t="str">
        <f ca="1">OFFSET('Cap cost 2023'!$A$5,D$20,0)</f>
        <v>Nuclear—light water reactor</v>
      </c>
      <c r="E19" s="37" t="str">
        <f ca="1">OFFSET('Cap cost 2023'!$A$5,E$20,0)</f>
        <v>Combined-cycle—single-shaft</v>
      </c>
      <c r="F19" s="37" t="str">
        <f ca="1">OFFSET('Cap cost 2023'!$A$5,F$20,0)</f>
        <v>Ultra-supercritical coal (USC)</v>
      </c>
      <c r="G19" s="37" t="str">
        <f ca="1">OFFSET('Cap cost 2023'!$A$5,G$20,0)</f>
        <v>Battery storage</v>
      </c>
      <c r="H19" s="37"/>
      <c r="I19" s="37"/>
      <c r="J19" s="37"/>
    </row>
    <row r="20" spans="1:17" ht="14.65" x14ac:dyDescent="0.85">
      <c r="A20" t="s">
        <v>299</v>
      </c>
      <c r="B20" s="29">
        <v>22</v>
      </c>
      <c r="C20" s="29">
        <v>19</v>
      </c>
      <c r="D20" s="29">
        <v>11</v>
      </c>
      <c r="E20" s="29">
        <v>4</v>
      </c>
      <c r="F20" s="29">
        <v>1</v>
      </c>
      <c r="G20" s="29">
        <v>15</v>
      </c>
      <c r="H20" s="29"/>
      <c r="I20" s="29"/>
      <c r="J20" s="29"/>
    </row>
    <row r="21" spans="1:17" ht="14.65" x14ac:dyDescent="0.85">
      <c r="A21" t="s">
        <v>243</v>
      </c>
      <c r="B21" s="29">
        <f ca="1">OFFSET('Cap cost 2023'!$G$5,B$20,0)</f>
        <v>1448</v>
      </c>
      <c r="C21" s="29">
        <f ca="1">OFFSET('Cap cost 2023'!$G$5,C$20,0)</f>
        <v>2098</v>
      </c>
      <c r="D21" s="29">
        <f ca="1">OFFSET('Cap cost 2023'!$G$5,D$20,0)</f>
        <v>7777</v>
      </c>
      <c r="E21" s="29">
        <f ca="1">OFFSET('Cap cost 2023'!$G$5,E$20,0)</f>
        <v>1330</v>
      </c>
      <c r="F21" s="29">
        <f ca="1">OFFSET('Cap cost 2023'!$G$5,F$20,0)</f>
        <v>4507</v>
      </c>
      <c r="G21" s="29">
        <f ca="1">OFFSET('Cap cost 2023'!$G$5,G$20,0)</f>
        <v>1270</v>
      </c>
      <c r="H21" s="29"/>
      <c r="I21" s="29"/>
      <c r="J21" s="29"/>
    </row>
    <row r="22" spans="1:17" ht="14.65" x14ac:dyDescent="0.85">
      <c r="A22" t="s">
        <v>69</v>
      </c>
      <c r="B22" s="44">
        <f ca="1">B21*1000</f>
        <v>1448000</v>
      </c>
      <c r="C22" s="44">
        <f t="shared" ref="C22:G22" ca="1" si="3">C21*1000</f>
        <v>2098000</v>
      </c>
      <c r="D22" s="44">
        <f t="shared" ca="1" si="3"/>
        <v>7777000</v>
      </c>
      <c r="E22" s="44">
        <f t="shared" ca="1" si="3"/>
        <v>1330000</v>
      </c>
      <c r="F22" s="44">
        <f t="shared" ca="1" si="3"/>
        <v>4507000</v>
      </c>
      <c r="G22" s="29">
        <f t="shared" ca="1" si="3"/>
        <v>1270000</v>
      </c>
      <c r="H22" s="29"/>
      <c r="I22" s="29"/>
      <c r="J22" s="29"/>
    </row>
    <row r="23" spans="1:17" ht="14.65" x14ac:dyDescent="0.85">
      <c r="A23" t="s">
        <v>241</v>
      </c>
      <c r="C23" s="29"/>
      <c r="D23" s="29"/>
      <c r="E23" s="29"/>
      <c r="F23" s="29"/>
      <c r="G23" s="44">
        <f ca="1">G22/4</f>
        <v>317500</v>
      </c>
      <c r="H23" s="29"/>
      <c r="I23" s="29"/>
      <c r="J23" s="29"/>
    </row>
    <row r="24" spans="1:17" s="31" customFormat="1" ht="14.65" x14ac:dyDescent="0.85">
      <c r="A24" s="31" t="s">
        <v>253</v>
      </c>
      <c r="B24" s="31">
        <f ca="1">OFFSET('Cap cost 2023'!$I$5,B$20,0)</f>
        <v>17.16</v>
      </c>
      <c r="C24" s="31">
        <f ca="1">OFFSET('Cap cost 2023'!$I$5,C$20,0)</f>
        <v>29.64</v>
      </c>
      <c r="D24" s="31">
        <f ca="1">OFFSET('Cap cost 2023'!$I$5,D$20,0)</f>
        <v>136.91</v>
      </c>
      <c r="E24" s="31">
        <f ca="1">OFFSET('Cap cost 2023'!$I$5,E$20,0)</f>
        <v>15.87</v>
      </c>
      <c r="F24" s="31">
        <f ca="1">OFFSET('Cap cost 2023'!$I$5,F$20,0)</f>
        <v>45.68</v>
      </c>
      <c r="G24" s="31">
        <f ca="1">OFFSET('Cap cost 2023'!$I$5,G$20,0)</f>
        <v>45.76</v>
      </c>
    </row>
    <row r="25" spans="1:17" s="29" customFormat="1" ht="14.65" x14ac:dyDescent="0.85">
      <c r="A25" s="29" t="s">
        <v>235</v>
      </c>
      <c r="B25" s="29">
        <f ca="1">B24*1000</f>
        <v>17160</v>
      </c>
      <c r="C25" s="29">
        <f t="shared" ref="C25:G25" ca="1" si="4">C24*1000</f>
        <v>29640</v>
      </c>
      <c r="D25" s="29">
        <f t="shared" ca="1" si="4"/>
        <v>136910</v>
      </c>
      <c r="E25" s="29">
        <f t="shared" ca="1" si="4"/>
        <v>15870</v>
      </c>
      <c r="F25" s="29">
        <f t="shared" ca="1" si="4"/>
        <v>45680</v>
      </c>
      <c r="G25" s="29">
        <f t="shared" ca="1" si="4"/>
        <v>45760</v>
      </c>
    </row>
    <row r="26" spans="1:17" ht="14.65" x14ac:dyDescent="0.85">
      <c r="A26" t="s">
        <v>236</v>
      </c>
      <c r="B26" s="31">
        <f ca="1">OFFSET('Cap cost 2023'!$H$5,B$20,0)</f>
        <v>0</v>
      </c>
      <c r="C26" s="31">
        <f ca="1">OFFSET('Cap cost 2023'!$H$5,C$20,0)</f>
        <v>0</v>
      </c>
      <c r="D26" s="31">
        <f ca="1">OFFSET('Cap cost 2023'!$H$5,D$20,0)</f>
        <v>2.67</v>
      </c>
      <c r="E26" s="31">
        <f ca="1">OFFSET('Cap cost 2023'!$H$5,E$20,0)</f>
        <v>2.87</v>
      </c>
      <c r="F26" s="31">
        <f ca="1">OFFSET('Cap cost 2023'!$H$5,F$20,0)</f>
        <v>5.0599999999999996</v>
      </c>
      <c r="G26" s="31">
        <f ca="1">OFFSET('Cap cost 2023'!$H$5,G$20,0)</f>
        <v>0</v>
      </c>
      <c r="H26" s="29"/>
      <c r="I26" s="29"/>
      <c r="J26" s="29"/>
    </row>
    <row r="27" spans="1:17" ht="14.65" x14ac:dyDescent="0.85">
      <c r="C27" s="29"/>
      <c r="D27" s="29"/>
      <c r="E27" s="29"/>
      <c r="F27" s="29"/>
      <c r="G27" s="29"/>
      <c r="H27" s="29"/>
      <c r="I27" s="29"/>
      <c r="J27" s="29"/>
    </row>
    <row r="28" spans="1:17" s="35" customFormat="1" ht="14.65" x14ac:dyDescent="0.85">
      <c r="A28" s="35" t="s">
        <v>237</v>
      </c>
      <c r="B28" s="37" t="str">
        <f ca="1">OFFSET('EIA Outlook 2023'!$A$5,B$29,0)</f>
        <v>Solar, standalone</v>
      </c>
      <c r="C28" s="37" t="str">
        <f ca="1">OFFSET('EIA Outlook 2023'!$A$5,C$29,0)</f>
        <v>Wind, onshore</v>
      </c>
      <c r="D28" s="37" t="str">
        <f ca="1">OFFSET('EIA Outlook 2023'!$A$5,D$29,0)</f>
        <v>Advanced nuclear</v>
      </c>
      <c r="E28" s="37" t="str">
        <f ca="1">OFFSET('EIA Outlook 2023'!$A$5,E$29,0)</f>
        <v>Combined-cycle</v>
      </c>
      <c r="F28" s="37" t="str">
        <f ca="1">OFFSET('EIA Outlook 2023'!$A$5,F$29,0)</f>
        <v>Ultra-super critical coal</v>
      </c>
      <c r="G28" s="37" t="str">
        <f ca="1">OFFSET('EIA Outlook 2023'!$A$5,G$29,0)</f>
        <v>Battery storage</v>
      </c>
      <c r="H28" s="37"/>
      <c r="I28" s="37"/>
      <c r="J28" s="37"/>
    </row>
    <row r="29" spans="1:17" ht="14.65" x14ac:dyDescent="0.85">
      <c r="A29" t="s">
        <v>238</v>
      </c>
      <c r="B29" s="29">
        <v>11</v>
      </c>
      <c r="C29" s="29">
        <v>10</v>
      </c>
      <c r="D29" s="29">
        <v>3</v>
      </c>
      <c r="E29" s="29">
        <v>4</v>
      </c>
      <c r="F29" s="29">
        <v>1</v>
      </c>
      <c r="G29" s="29">
        <v>14</v>
      </c>
      <c r="H29" s="29"/>
      <c r="I29" s="29"/>
      <c r="J29" s="29"/>
    </row>
    <row r="30" spans="1:17" s="31" customFormat="1" ht="14.65" x14ac:dyDescent="0.85">
      <c r="A30" s="31" t="s">
        <v>246</v>
      </c>
      <c r="B30" s="31">
        <f ca="1">OFFSET('EIA Outlook 2023'!$C$5,B$29,0)</f>
        <v>27.53</v>
      </c>
      <c r="C30" s="31">
        <f ca="1">OFFSET('EIA Outlook 2023'!$C$5,C$29,0)</f>
        <v>37.46</v>
      </c>
      <c r="D30" s="31">
        <f ca="1">OFFSET('EIA Outlook 2023'!$C$5,D$29,0)</f>
        <v>62.17</v>
      </c>
      <c r="E30" s="31">
        <f ca="1">OFFSET('EIA Outlook 2023'!$C$5,E$29,0)</f>
        <v>14.29</v>
      </c>
      <c r="F30" s="31">
        <f ca="1">OFFSET('EIA Outlook 2023'!$C$5,F$29,0)</f>
        <v>57.73</v>
      </c>
      <c r="G30" s="31">
        <f ca="1">OFFSET('EIA Outlook 2023'!$C$5,G$29,0)</f>
        <v>57.85</v>
      </c>
    </row>
    <row r="31" spans="1:17" s="27" customFormat="1" ht="14.65" x14ac:dyDescent="0.85">
      <c r="A31" s="27" t="s">
        <v>165</v>
      </c>
      <c r="B31" s="27">
        <f ca="1">OFFSET('EIA Outlook 2023'!$B$5,B$29,0)</f>
        <v>0.28999999999999998</v>
      </c>
      <c r="C31" s="27">
        <f ca="1">OFFSET('EIA Outlook 2023'!$B$5,C$29,0)</f>
        <v>0.4</v>
      </c>
      <c r="D31" s="27">
        <f ca="1">OFFSET('EIA Outlook 2023'!$B$5,D$29,0)</f>
        <v>0.9</v>
      </c>
      <c r="E31" s="27">
        <f ca="1">OFFSET('EIA Outlook 2023'!$B$5,E$29,0)</f>
        <v>0.87</v>
      </c>
      <c r="F31" s="27">
        <f ca="1">OFFSET('EIA Outlook 2023'!$B$5,F$29,0)</f>
        <v>0.85</v>
      </c>
      <c r="G31" s="27">
        <f ca="1">OFFSET('EIA Outlook 2023'!$B$5,G$29,0)</f>
        <v>0.1</v>
      </c>
      <c r="N31" s="27" t="s">
        <v>70</v>
      </c>
      <c r="O31" s="27">
        <v>1</v>
      </c>
      <c r="P31" s="27">
        <v>10</v>
      </c>
      <c r="Q31" s="27">
        <v>3</v>
      </c>
    </row>
    <row r="32" spans="1:17" s="29" customFormat="1" ht="14.65" x14ac:dyDescent="0.85">
      <c r="A32" s="29" t="s">
        <v>247</v>
      </c>
      <c r="B32" s="29">
        <f ca="1">365.25*24*B31</f>
        <v>2542.14</v>
      </c>
      <c r="C32" s="29">
        <f t="shared" ref="C32:G32" ca="1" si="5">365.25*24*C31</f>
        <v>3506.4</v>
      </c>
      <c r="D32" s="29">
        <f t="shared" ca="1" si="5"/>
        <v>7889.4000000000005</v>
      </c>
      <c r="E32" s="29">
        <f t="shared" ca="1" si="5"/>
        <v>7626.42</v>
      </c>
      <c r="F32" s="29">
        <f t="shared" ca="1" si="5"/>
        <v>7451.0999999999995</v>
      </c>
      <c r="G32" s="29">
        <f t="shared" ca="1" si="5"/>
        <v>876.6</v>
      </c>
      <c r="O32" s="29" t="str">
        <f ca="1">OFFSET('EIA Outlook 2023'!$A$5,O$31,0)</f>
        <v>Ultra-super critical coal</v>
      </c>
      <c r="P32" s="29" t="str">
        <f ca="1">OFFSET('EIA Outlook 2023'!$A$5,P$31,0)</f>
        <v>Wind, onshore</v>
      </c>
      <c r="Q32" s="29" t="str">
        <f ca="1">OFFSET('EIA Outlook 2023'!$A$5,Q$31,0)</f>
        <v>Advanced nuclear</v>
      </c>
    </row>
    <row r="33" spans="1:21" ht="14.65" x14ac:dyDescent="0.85">
      <c r="A33" t="s">
        <v>239</v>
      </c>
      <c r="B33" s="41" t="str">
        <f ca="1">OFFSET('Fixed Charge Factor'!$A$4,B$34,0)</f>
        <v>Solar, standalone</v>
      </c>
      <c r="C33" s="41" t="str">
        <f ca="1">OFFSET('Fixed Charge Factor'!$A$4,C$34,0)</f>
        <v>Wind, onshore</v>
      </c>
      <c r="D33" s="41" t="str">
        <f ca="1">OFFSET('Fixed Charge Factor'!$A$4,D$34,0)</f>
        <v>Advanced nuclear</v>
      </c>
      <c r="E33" s="41" t="str">
        <f ca="1">OFFSET('Fixed Charge Factor'!$A$4,E$34,0)</f>
        <v>Combined-cycle</v>
      </c>
      <c r="F33" s="41" t="str">
        <f ca="1">OFFSET('Fixed Charge Factor'!$A$4,F$34,0)</f>
        <v>Ultra-super critical coal</v>
      </c>
      <c r="G33" s="41" t="str">
        <f ca="1">OFFSET('Fixed Charge Factor'!$A$4,G$34,0)</f>
        <v>Battery storage</v>
      </c>
      <c r="H33" s="27"/>
      <c r="I33" s="27"/>
      <c r="J33" s="27"/>
      <c r="N33" t="s">
        <v>66</v>
      </c>
      <c r="O33" s="27">
        <f ca="1">OFFSET('EIA Outlook 2023'!$B$5,O$31,0)</f>
        <v>0.85</v>
      </c>
      <c r="P33" s="27">
        <f ca="1">OFFSET('EIA Outlook 2023'!$B$5,P$31,0)</f>
        <v>0.4</v>
      </c>
      <c r="Q33" s="27">
        <f ca="1">OFFSET('EIA Outlook 2023'!$B$5,Q$31,0)</f>
        <v>0.9</v>
      </c>
      <c r="T33" s="30"/>
      <c r="U33" s="30"/>
    </row>
    <row r="34" spans="1:21" ht="14.65" x14ac:dyDescent="0.85">
      <c r="A34" t="s">
        <v>166</v>
      </c>
      <c r="B34" s="29">
        <v>10</v>
      </c>
      <c r="C34" s="29">
        <v>9</v>
      </c>
      <c r="D34" s="29">
        <v>3</v>
      </c>
      <c r="E34" s="29">
        <v>4</v>
      </c>
      <c r="F34" s="29">
        <v>1</v>
      </c>
      <c r="G34" s="29">
        <v>12</v>
      </c>
      <c r="H34" s="29"/>
      <c r="I34" s="29"/>
      <c r="J34" s="29"/>
      <c r="N34" t="s">
        <v>23</v>
      </c>
      <c r="O34" s="31">
        <f ca="1">OFFSET('EIA Outlook 2023'!$C$5,O$31,0)</f>
        <v>57.73</v>
      </c>
      <c r="P34" s="31">
        <f ca="1">OFFSET('EIA Outlook 2023'!$C$5,P$31,0)</f>
        <v>37.46</v>
      </c>
      <c r="Q34" s="31">
        <f ca="1">OFFSET('EIA Outlook 2023'!$C$5,Q$31,0)</f>
        <v>62.17</v>
      </c>
      <c r="U34" s="30"/>
    </row>
    <row r="35" spans="1:21" s="38" customFormat="1" ht="14.65" x14ac:dyDescent="0.85">
      <c r="A35" s="38" t="s">
        <v>240</v>
      </c>
      <c r="B35" s="38">
        <f ca="1">OFFSET('Fixed Charge Factor'!$C$4,B$34,0)</f>
        <v>6.4834000000000044E-2</v>
      </c>
      <c r="C35" s="38">
        <f ca="1">OFFSET('Fixed Charge Factor'!$C$4,C$34,0)</f>
        <v>6.5252000000000018E-2</v>
      </c>
      <c r="D35" s="38">
        <f ca="1">OFFSET('Fixed Charge Factor'!$C$4,D$34,0)</f>
        <v>7.3704999999999965E-2</v>
      </c>
      <c r="E35" s="38">
        <f ca="1">OFFSET('Fixed Charge Factor'!$C$4,E$34,0)</f>
        <v>0.104838</v>
      </c>
      <c r="F35" s="38">
        <f ca="1">OFFSET('Fixed Charge Factor'!$C$4,F$34,0)</f>
        <v>0.108927</v>
      </c>
      <c r="G35" s="38">
        <f ca="1">OFFSET('Fixed Charge Factor'!$C$4,G$34,0)</f>
        <v>6.4426000000000039E-2</v>
      </c>
      <c r="N35" s="38" t="s">
        <v>67</v>
      </c>
      <c r="O35" s="38">
        <f ca="1">1/(365.25 * 24 * O33)</f>
        <v>1.3420837191824026E-4</v>
      </c>
      <c r="P35" s="38">
        <f t="shared" ref="P35:Q35" ca="1" si="6">1/(365.25 * 24 * P33)</f>
        <v>2.8519279032626052E-4</v>
      </c>
      <c r="Q35" s="38">
        <f t="shared" ca="1" si="6"/>
        <v>1.267523512561158E-4</v>
      </c>
    </row>
    <row r="36" spans="1:21" ht="14.65" x14ac:dyDescent="0.85">
      <c r="A36" t="s">
        <v>69</v>
      </c>
      <c r="B36" s="29">
        <f ca="1">B$32*B$30/B$35</f>
        <v>1079450.8159299125</v>
      </c>
      <c r="C36" s="29">
        <f t="shared" ref="C36:G36" ca="1" si="7">C$32*C$30/C$35</f>
        <v>2012961.1965916748</v>
      </c>
      <c r="D36" s="29">
        <f t="shared" ca="1" si="7"/>
        <v>6654690.9707618244</v>
      </c>
      <c r="E36" s="29">
        <f t="shared" ca="1" si="7"/>
        <v>1039523.2816345218</v>
      </c>
      <c r="F36" s="29">
        <f t="shared" ca="1" si="7"/>
        <v>3948993.3900685781</v>
      </c>
      <c r="G36" s="29">
        <f t="shared" ca="1" si="7"/>
        <v>787124.91851115972</v>
      </c>
      <c r="H36" s="29"/>
      <c r="I36" s="29"/>
      <c r="J36" s="29"/>
      <c r="N36" t="s">
        <v>68</v>
      </c>
      <c r="O36" s="29">
        <f ca="1">O34/O35</f>
        <v>430152.00299999997</v>
      </c>
      <c r="P36" s="29">
        <f t="shared" ref="P36:Q36" ca="1" si="8">P34/P35</f>
        <v>131349.74400000001</v>
      </c>
      <c r="Q36" s="29">
        <f t="shared" ca="1" si="8"/>
        <v>490483.99800000002</v>
      </c>
      <c r="U36" s="30"/>
    </row>
    <row r="37" spans="1:21" ht="14.65" x14ac:dyDescent="0.85">
      <c r="A37" t="s">
        <v>254</v>
      </c>
      <c r="C37" s="29"/>
      <c r="D37" s="29"/>
      <c r="E37" s="29"/>
      <c r="F37" s="29"/>
      <c r="G37" s="29">
        <f ca="1">G36/4</f>
        <v>196781.22962778993</v>
      </c>
      <c r="H37" s="29"/>
      <c r="I37" s="29"/>
      <c r="J37" s="29"/>
      <c r="O37" s="29"/>
      <c r="P37" s="29"/>
      <c r="Q37" s="29"/>
      <c r="U37" s="30"/>
    </row>
    <row r="38" spans="1:21" ht="14.65" x14ac:dyDescent="0.85">
      <c r="A38" t="s">
        <v>257</v>
      </c>
      <c r="C38" s="29">
        <f>2054*1000</f>
        <v>2054000</v>
      </c>
      <c r="D38" s="29"/>
      <c r="E38" s="29"/>
      <c r="F38" s="29"/>
      <c r="G38" s="29"/>
      <c r="H38" s="29"/>
      <c r="I38" s="29"/>
      <c r="J38" s="29"/>
      <c r="O38" s="29"/>
      <c r="P38" s="29"/>
      <c r="Q38" s="29"/>
      <c r="U38" s="30"/>
    </row>
    <row r="39" spans="1:21" s="31" customFormat="1" ht="14.65" x14ac:dyDescent="0.85">
      <c r="A39" s="31" t="s">
        <v>250</v>
      </c>
      <c r="B39" s="31">
        <f ca="1">OFFSET('EIA Outlook 2023'!$D$5,B$29,0)</f>
        <v>9.93</v>
      </c>
      <c r="C39" s="31">
        <f ca="1">OFFSET('EIA Outlook 2023'!$D$5,C$29,0)</f>
        <v>10.52</v>
      </c>
      <c r="D39" s="31">
        <f ca="1">OFFSET('EIA Outlook 2023'!$D$5,D$29,0)</f>
        <v>17.37</v>
      </c>
      <c r="E39" s="31">
        <f ca="1">OFFSET('EIA Outlook 2023'!$D$5,E$29,0)</f>
        <v>2.79</v>
      </c>
      <c r="F39" s="31">
        <f ca="1">OFFSET('EIA Outlook 2023'!$D$5,F$29,0)</f>
        <v>7.1</v>
      </c>
      <c r="G39" s="31">
        <f ca="1">OFFSET('EIA Outlook 2023'!$D$5,G$29,0)</f>
        <v>52.24</v>
      </c>
    </row>
    <row r="40" spans="1:21" ht="14.65" x14ac:dyDescent="0.85">
      <c r="A40" t="s">
        <v>252</v>
      </c>
      <c r="B40" s="44">
        <f t="shared" ref="B40:G40" ca="1" si="9">B$32*B$39</f>
        <v>25243.450199999999</v>
      </c>
      <c r="C40" s="44">
        <f t="shared" ca="1" si="9"/>
        <v>36887.328000000001</v>
      </c>
      <c r="D40" s="44">
        <f t="shared" ca="1" si="9"/>
        <v>137038.87800000003</v>
      </c>
      <c r="E40" s="44">
        <f t="shared" ca="1" si="9"/>
        <v>21277.711800000001</v>
      </c>
      <c r="F40" s="44">
        <f t="shared" ca="1" si="9"/>
        <v>52902.80999999999</v>
      </c>
      <c r="G40" s="29">
        <f t="shared" ca="1" si="9"/>
        <v>45793.584000000003</v>
      </c>
      <c r="H40" s="29"/>
      <c r="I40" s="29"/>
      <c r="J40" s="29"/>
      <c r="O40" s="29"/>
      <c r="P40" s="29"/>
      <c r="Q40" s="29"/>
      <c r="U40" s="30"/>
    </row>
    <row r="41" spans="1:21" ht="14.65" x14ac:dyDescent="0.85">
      <c r="A41" t="s">
        <v>309</v>
      </c>
      <c r="C41" s="29"/>
      <c r="D41" s="29"/>
      <c r="E41" s="29"/>
      <c r="F41" s="29"/>
      <c r="G41" s="44">
        <f ca="1">G40/4</f>
        <v>11448.396000000001</v>
      </c>
      <c r="H41" s="29"/>
      <c r="I41" s="29"/>
      <c r="J41" s="29"/>
      <c r="O41" s="29"/>
      <c r="P41" s="29"/>
      <c r="Q41" s="29"/>
      <c r="U41" s="30"/>
    </row>
    <row r="42" spans="1:21" ht="14.65" x14ac:dyDescent="0.85">
      <c r="A42" t="s">
        <v>251</v>
      </c>
      <c r="B42" s="45">
        <f ca="1">OFFSET('EIA Outlook 2023'!$E$5,B$29,0)</f>
        <v>0</v>
      </c>
      <c r="C42" s="45">
        <f ca="1">OFFSET('EIA Outlook 2023'!$E$5,C$29,0)</f>
        <v>0</v>
      </c>
      <c r="D42" s="45">
        <f ca="1">OFFSET('EIA Outlook 2023'!$E$5,D$29,0)</f>
        <v>10.11</v>
      </c>
      <c r="E42" s="45">
        <f ca="1">OFFSET('EIA Outlook 2023'!$E$5,E$29,0)</f>
        <v>24.4</v>
      </c>
      <c r="F42" s="45">
        <f ca="1">OFFSET('EIA Outlook 2023'!$E$5,F$29,0)</f>
        <v>23.28</v>
      </c>
      <c r="G42" s="45">
        <f ca="1">OFFSET('EIA Outlook 2023'!$E$5,G$29,0)</f>
        <v>13.77</v>
      </c>
      <c r="H42" s="29"/>
      <c r="I42" s="29"/>
      <c r="J42" s="29"/>
      <c r="O42" s="29"/>
      <c r="P42" s="29"/>
      <c r="Q42" s="29"/>
      <c r="U42" s="30"/>
    </row>
    <row r="43" spans="1:21" ht="14.65" x14ac:dyDescent="0.85">
      <c r="C43" s="29"/>
      <c r="D43" s="29"/>
      <c r="E43" s="29"/>
      <c r="F43" s="29"/>
      <c r="G43" s="29"/>
      <c r="H43" s="29"/>
      <c r="I43" s="29"/>
      <c r="J43" s="29"/>
      <c r="O43" s="29"/>
      <c r="P43" s="29"/>
      <c r="Q43" s="29"/>
      <c r="U43" s="30"/>
    </row>
    <row r="44" spans="1:21" ht="14.65" x14ac:dyDescent="0.85">
      <c r="A44" s="35" t="s">
        <v>307</v>
      </c>
      <c r="B44" s="31"/>
      <c r="C44" s="31"/>
      <c r="D44" s="31"/>
      <c r="E44" s="31"/>
      <c r="F44" s="31"/>
      <c r="G44" s="31"/>
      <c r="H44" s="31"/>
      <c r="I44" s="31"/>
      <c r="J44" s="31"/>
      <c r="O44" s="26"/>
      <c r="P44" s="26"/>
      <c r="Q44" s="26"/>
      <c r="R44" s="26"/>
      <c r="U44" s="30"/>
    </row>
    <row r="45" spans="1:21" s="27" customFormat="1" ht="14.65" x14ac:dyDescent="0.85">
      <c r="A45" s="27" t="s">
        <v>69</v>
      </c>
      <c r="B45" s="27">
        <f t="shared" ref="B45:G45" ca="1" si="10">(B$36-B$12)/B$36</f>
        <v>-0.21635926401046102</v>
      </c>
      <c r="C45" s="27">
        <f t="shared" ca="1" si="10"/>
        <v>0.37157258563061973</v>
      </c>
      <c r="D45" s="27">
        <f t="shared" ca="1" si="10"/>
        <v>9.2219304165760449E-2</v>
      </c>
      <c r="E45" s="27">
        <f t="shared" ca="1" si="10"/>
        <v>-4.2785687585124667E-2</v>
      </c>
      <c r="F45" s="27">
        <f t="shared" ca="1" si="10"/>
        <v>6.9129867564513003E-2</v>
      </c>
      <c r="G45" s="27">
        <f t="shared" ca="1" si="10"/>
        <v>-0.76465001594318982</v>
      </c>
    </row>
    <row r="46" spans="1:21" s="27" customFormat="1" ht="14.65" x14ac:dyDescent="0.85">
      <c r="A46" s="27" t="s">
        <v>257</v>
      </c>
      <c r="C46" s="27">
        <f ca="1">(C$38-C$12)/C$38</f>
        <v>0.38412852969814998</v>
      </c>
    </row>
    <row r="47" spans="1:21" ht="14.65" x14ac:dyDescent="0.85">
      <c r="A47" t="s">
        <v>248</v>
      </c>
      <c r="B47" s="27">
        <f t="shared" ref="B47:G47" ca="1" si="11">(B$40-B$15)/B$40</f>
        <v>0.39588289718019604</v>
      </c>
      <c r="C47" s="27">
        <f t="shared" ca="1" si="11"/>
        <v>0.28593364095116897</v>
      </c>
      <c r="D47" s="27">
        <f t="shared" ca="1" si="11"/>
        <v>0.11236868124387317</v>
      </c>
      <c r="E47" s="27">
        <f t="shared" ca="1" si="11"/>
        <v>0.33733475984010652</v>
      </c>
      <c r="F47" s="27">
        <f t="shared" ca="1" si="11"/>
        <v>0.23293299543067736</v>
      </c>
      <c r="G47" s="27">
        <f t="shared" ca="1" si="11"/>
        <v>0.45843941806345628</v>
      </c>
      <c r="H47" s="32"/>
      <c r="I47" s="32"/>
      <c r="J47" s="32"/>
      <c r="N47" s="30"/>
    </row>
    <row r="48" spans="1:21" ht="14.65" x14ac:dyDescent="0.85">
      <c r="A48" t="s">
        <v>249</v>
      </c>
      <c r="B48" s="27">
        <f t="shared" ref="B48:G48" ca="1" si="12">IF(B$16 = B$42,0,(B$42-B$16)/B$42)</f>
        <v>0</v>
      </c>
      <c r="C48" s="27">
        <f t="shared" ca="1" si="12"/>
        <v>0</v>
      </c>
      <c r="D48" s="27">
        <f t="shared" ca="1" si="12"/>
        <v>0.76557863501483681</v>
      </c>
      <c r="E48" s="27">
        <f t="shared" ca="1" si="12"/>
        <v>0.89549180327868849</v>
      </c>
      <c r="F48" s="27">
        <f t="shared" ca="1" si="12"/>
        <v>0.80670103092783507</v>
      </c>
      <c r="G48" s="27">
        <f t="shared" ca="1" si="12"/>
        <v>1</v>
      </c>
      <c r="H48" s="32"/>
      <c r="I48" s="32"/>
      <c r="J48" s="32"/>
      <c r="N48" s="30"/>
    </row>
    <row r="49" spans="1:21" ht="14.65" x14ac:dyDescent="0.85">
      <c r="B49" s="27"/>
      <c r="C49" s="27"/>
      <c r="D49" s="27"/>
      <c r="E49" s="27"/>
      <c r="F49" s="27"/>
      <c r="G49" s="27"/>
      <c r="H49" s="32"/>
      <c r="I49" s="32"/>
      <c r="J49" s="32"/>
      <c r="N49" s="30"/>
    </row>
    <row r="50" spans="1:21" s="35" customFormat="1" ht="14.65" x14ac:dyDescent="0.85">
      <c r="A50" s="35" t="s">
        <v>308</v>
      </c>
      <c r="B50" s="29" t="s">
        <v>62</v>
      </c>
      <c r="C50" t="s">
        <v>74</v>
      </c>
      <c r="D50" t="s">
        <v>55</v>
      </c>
      <c r="E50" t="s">
        <v>56</v>
      </c>
      <c r="F50" t="s">
        <v>53</v>
      </c>
      <c r="G50" t="s">
        <v>64</v>
      </c>
      <c r="H50" s="42"/>
      <c r="I50" s="42"/>
      <c r="J50" s="42"/>
      <c r="N50" s="43"/>
    </row>
    <row r="51" spans="1:21" s="27" customFormat="1" ht="14.65" x14ac:dyDescent="0.85">
      <c r="A51" s="27" t="s">
        <v>69</v>
      </c>
      <c r="B51" s="27">
        <f t="shared" ref="B51:G51" ca="1" si="13">(B$36-B$6)/B$36</f>
        <v>3.7184693677158369E-2</v>
      </c>
      <c r="C51" s="27">
        <f t="shared" ca="1" si="13"/>
        <v>0.33506467175506621</v>
      </c>
      <c r="D51" s="27">
        <f t="shared" ca="1" si="13"/>
        <v>3.4376384082585906E-2</v>
      </c>
      <c r="E51" s="27">
        <f t="shared" ca="1" si="13"/>
        <v>-7.5675237635645223E-2</v>
      </c>
      <c r="F51" s="27">
        <f t="shared" ca="1" si="13"/>
        <v>4.0486912556164524E-2</v>
      </c>
      <c r="G51" s="27">
        <f t="shared" ca="1" si="13"/>
        <v>1.4043741026606825E-2</v>
      </c>
    </row>
    <row r="52" spans="1:21" ht="14.65" x14ac:dyDescent="0.85">
      <c r="B52" s="27"/>
      <c r="C52" s="27"/>
      <c r="D52" s="27"/>
      <c r="E52" s="27"/>
      <c r="F52" s="27"/>
      <c r="G52" s="27"/>
      <c r="H52" s="32"/>
      <c r="I52" s="32"/>
      <c r="J52" s="32"/>
      <c r="N52" s="30"/>
    </row>
    <row r="53" spans="1:21" ht="14.65" x14ac:dyDescent="0.85">
      <c r="A53" s="35" t="s">
        <v>306</v>
      </c>
      <c r="B53" s="31"/>
      <c r="C53" s="31"/>
      <c r="D53" s="31"/>
      <c r="E53" s="31"/>
      <c r="F53" s="31"/>
      <c r="G53" s="31"/>
      <c r="H53" s="31"/>
      <c r="I53" s="31"/>
      <c r="J53" s="31"/>
      <c r="O53" s="26"/>
      <c r="P53" s="26"/>
      <c r="Q53" s="26"/>
      <c r="R53" s="26"/>
      <c r="U53" s="30"/>
    </row>
    <row r="54" spans="1:21" s="27" customFormat="1" ht="14.65" x14ac:dyDescent="0.85">
      <c r="A54" s="27" t="s">
        <v>69</v>
      </c>
      <c r="B54" s="27">
        <f t="shared" ref="B54:G54" ca="1" si="14">(B$36-B$22)/B$36</f>
        <v>-0.3414228593199905</v>
      </c>
      <c r="C54" s="27">
        <f t="shared" ca="1" si="14"/>
        <v>-4.224562478020541E-2</v>
      </c>
      <c r="D54" s="27">
        <f t="shared" ca="1" si="14"/>
        <v>-0.16864930831035937</v>
      </c>
      <c r="E54" s="27">
        <f t="shared" ca="1" si="14"/>
        <v>-0.27943262406661973</v>
      </c>
      <c r="F54" s="27">
        <f t="shared" ca="1" si="14"/>
        <v>-0.14130350568192052</v>
      </c>
      <c r="G54" s="27">
        <f t="shared" ca="1" si="14"/>
        <v>-0.61346689722667469</v>
      </c>
    </row>
    <row r="55" spans="1:21" ht="14.65" x14ac:dyDescent="0.85">
      <c r="A55" t="s">
        <v>248</v>
      </c>
      <c r="B55" s="27">
        <f t="shared" ref="B55:G55" ca="1" si="15">(B$40-B$25)/B$40</f>
        <v>0.32021970594178129</v>
      </c>
      <c r="C55" s="27">
        <f t="shared" ca="1" si="15"/>
        <v>0.19647202421384388</v>
      </c>
      <c r="D55" s="27">
        <f t="shared" ca="1" si="15"/>
        <v>9.4044844704599851E-4</v>
      </c>
      <c r="E55" s="27">
        <f t="shared" ca="1" si="15"/>
        <v>0.25414912330939649</v>
      </c>
      <c r="F55" s="27">
        <f t="shared" ca="1" si="15"/>
        <v>0.13652979870067378</v>
      </c>
      <c r="G55" s="27">
        <f t="shared" ca="1" si="15"/>
        <v>7.3337784611928521E-4</v>
      </c>
      <c r="H55" s="32"/>
      <c r="I55" s="32"/>
      <c r="J55" s="32"/>
      <c r="N55" s="30"/>
    </row>
    <row r="56" spans="1:21" ht="14.65" x14ac:dyDescent="0.85">
      <c r="A56" t="s">
        <v>249</v>
      </c>
      <c r="B56" s="27">
        <f t="shared" ref="B56:G56" ca="1" si="16">IF(B$26 = B$42,0,(B$42-B$26)/B$42)</f>
        <v>0</v>
      </c>
      <c r="C56" s="27">
        <f t="shared" ca="1" si="16"/>
        <v>0</v>
      </c>
      <c r="D56" s="27">
        <f t="shared" ca="1" si="16"/>
        <v>0.73590504451038574</v>
      </c>
      <c r="E56" s="27">
        <f t="shared" ca="1" si="16"/>
        <v>0.88237704918032778</v>
      </c>
      <c r="F56" s="27">
        <f t="shared" ca="1" si="16"/>
        <v>0.78264604810996574</v>
      </c>
      <c r="G56" s="27">
        <f t="shared" ca="1" si="16"/>
        <v>1</v>
      </c>
      <c r="H56" s="32"/>
      <c r="I56" s="32"/>
      <c r="J56" s="32"/>
      <c r="N56" s="30"/>
    </row>
    <row r="57" spans="1:21" ht="14.65" x14ac:dyDescent="0.85">
      <c r="B57" s="27"/>
      <c r="C57" s="27"/>
      <c r="D57" s="27"/>
      <c r="E57" s="27"/>
      <c r="F57" s="27"/>
      <c r="G57" s="27"/>
      <c r="H57" s="32"/>
      <c r="I57" s="32"/>
      <c r="J57" s="32"/>
      <c r="N57" s="30"/>
    </row>
    <row r="58" spans="1:21" x14ac:dyDescent="0.85">
      <c r="A58" s="35" t="s">
        <v>305</v>
      </c>
      <c r="B58" s="31"/>
      <c r="C58" s="31"/>
      <c r="D58" s="31"/>
      <c r="E58" s="31"/>
      <c r="F58" s="31"/>
      <c r="G58" s="31"/>
      <c r="H58" s="31"/>
      <c r="I58" s="31"/>
      <c r="J58" s="31"/>
      <c r="O58" s="26"/>
      <c r="P58" s="26"/>
      <c r="Q58" s="26"/>
      <c r="R58" s="26"/>
      <c r="U58" s="30"/>
    </row>
    <row r="59" spans="1:21" s="27" customFormat="1" x14ac:dyDescent="0.85">
      <c r="A59" s="27" t="s">
        <v>69</v>
      </c>
      <c r="B59" s="27">
        <f t="shared" ref="B59:G59" ca="1" si="17">(B$22-B$12)/B$22</f>
        <v>9.3232044198895025E-2</v>
      </c>
      <c r="C59" s="27">
        <f t="shared" ca="1" si="17"/>
        <v>0.39704480457578645</v>
      </c>
      <c r="D59" s="27">
        <f t="shared" ca="1" si="17"/>
        <v>0.22322232223222321</v>
      </c>
      <c r="E59" s="27">
        <f t="shared" ca="1" si="17"/>
        <v>0.18496240601503761</v>
      </c>
      <c r="F59" s="27">
        <f t="shared" ca="1" si="17"/>
        <v>0.18437985356112713</v>
      </c>
      <c r="G59" s="27">
        <f t="shared" ca="1" si="17"/>
        <v>-9.3700787401574809E-2</v>
      </c>
    </row>
    <row r="60" spans="1:21" x14ac:dyDescent="0.85">
      <c r="A60" t="s">
        <v>248</v>
      </c>
      <c r="B60" s="27">
        <f ca="1">(B$25-B$15)/B$25</f>
        <v>0.11130536130536131</v>
      </c>
      <c r="C60" s="27">
        <f ca="1">(C$40-C$15)/C$40</f>
        <v>0.28593364095116897</v>
      </c>
      <c r="D60" s="27">
        <f ca="1">(D$40-D$15)/D$40</f>
        <v>0.11236868124387317</v>
      </c>
      <c r="E60" s="27">
        <f ca="1">(E$40-E$15)/E$40</f>
        <v>0.33733475984010652</v>
      </c>
      <c r="F60" s="27">
        <f ca="1">(F$40-F$15)/F$40</f>
        <v>0.23293299543067736</v>
      </c>
      <c r="G60" s="27">
        <f ca="1">(G$40-G$15)/G$40</f>
        <v>0.45843941806345628</v>
      </c>
      <c r="H60" s="32"/>
      <c r="I60" s="32"/>
      <c r="J60" s="32"/>
      <c r="N60" s="30"/>
    </row>
    <row r="61" spans="1:21" x14ac:dyDescent="0.85">
      <c r="A61" t="s">
        <v>249</v>
      </c>
      <c r="B61" s="27">
        <f t="shared" ref="B61:G61" ca="1" si="18">IF(B$16 = B$26,0,(B$16-B$26)/B$16)</f>
        <v>0</v>
      </c>
      <c r="C61" s="27">
        <f t="shared" ca="1" si="18"/>
        <v>0</v>
      </c>
      <c r="D61" s="27">
        <f t="shared" ca="1" si="18"/>
        <v>-0.12658227848101258</v>
      </c>
      <c r="E61" s="27">
        <f t="shared" ca="1" si="18"/>
        <v>-0.12549019607843148</v>
      </c>
      <c r="F61" s="27">
        <f t="shared" ca="1" si="18"/>
        <v>-0.12444444444444436</v>
      </c>
      <c r="G61" s="27">
        <f t="shared" ca="1" si="18"/>
        <v>0</v>
      </c>
      <c r="H61" s="32"/>
      <c r="I61" s="32"/>
      <c r="J61" s="32"/>
      <c r="N61" s="30"/>
    </row>
    <row r="62" spans="1:21" x14ac:dyDescent="0.85">
      <c r="B62" s="27"/>
      <c r="C62" s="27"/>
      <c r="D62" s="27"/>
      <c r="E62" s="27"/>
      <c r="F62" s="27"/>
      <c r="G62" s="27"/>
      <c r="H62" s="32"/>
      <c r="I62" s="32"/>
      <c r="J62" s="32"/>
      <c r="N62" s="30"/>
    </row>
    <row r="63" spans="1:21" x14ac:dyDescent="0.85">
      <c r="B63" s="27"/>
      <c r="C63" s="27"/>
      <c r="D63" s="27"/>
      <c r="E63" s="27"/>
      <c r="F63" s="27"/>
      <c r="G63" s="27"/>
      <c r="N63" s="30"/>
    </row>
    <row r="64" spans="1:21" x14ac:dyDescent="0.85">
      <c r="B64" s="27"/>
      <c r="C64" s="27"/>
      <c r="D64" s="27"/>
      <c r="E64" s="27"/>
      <c r="F64" s="27"/>
      <c r="G64" s="27"/>
      <c r="N64" s="30"/>
    </row>
    <row r="65" spans="2:14" x14ac:dyDescent="0.85">
      <c r="B65" s="27"/>
      <c r="C65" s="27"/>
      <c r="D65" s="27"/>
      <c r="E65" s="27"/>
      <c r="F65" s="27"/>
      <c r="G65" s="27"/>
      <c r="N65" s="30"/>
    </row>
    <row r="66" spans="2:14" x14ac:dyDescent="0.85">
      <c r="N66" s="30"/>
    </row>
    <row r="67" spans="2:14" x14ac:dyDescent="0.85">
      <c r="N67" s="30"/>
    </row>
    <row r="68" spans="2:14" x14ac:dyDescent="0.85">
      <c r="N68" s="30"/>
    </row>
    <row r="69" spans="2:14" x14ac:dyDescent="0.85">
      <c r="N69" s="30"/>
    </row>
    <row r="70" spans="2:14" x14ac:dyDescent="0.85">
      <c r="N70" s="30"/>
    </row>
    <row r="71" spans="2:14" x14ac:dyDescent="0.85">
      <c r="N71" s="30"/>
    </row>
    <row r="72" spans="2:14" x14ac:dyDescent="0.85">
      <c r="N72" s="30"/>
    </row>
    <row r="73" spans="2:14" x14ac:dyDescent="0.85">
      <c r="N73" s="30"/>
    </row>
    <row r="74" spans="2:14" x14ac:dyDescent="0.85">
      <c r="N74" s="30"/>
    </row>
    <row r="75" spans="2:14" x14ac:dyDescent="0.85">
      <c r="N75" s="30"/>
    </row>
    <row r="76" spans="2:14" x14ac:dyDescent="0.85">
      <c r="N76" s="30"/>
    </row>
    <row r="77" spans="2:14" x14ac:dyDescent="0.85">
      <c r="N77" s="30"/>
    </row>
    <row r="78" spans="2:14" x14ac:dyDescent="0.85">
      <c r="N78" s="30"/>
    </row>
    <row r="79" spans="2:14" x14ac:dyDescent="0.85">
      <c r="N79" s="30"/>
    </row>
    <row r="80" spans="2:14" x14ac:dyDescent="0.85">
      <c r="N80" s="30"/>
    </row>
    <row r="81" spans="14:14" x14ac:dyDescent="0.85">
      <c r="N81" s="30"/>
    </row>
    <row r="82" spans="14:14" x14ac:dyDescent="0.85">
      <c r="N82" s="30"/>
    </row>
    <row r="83" spans="14:14" x14ac:dyDescent="0.85">
      <c r="N83" s="30"/>
    </row>
    <row r="84" spans="14:14" x14ac:dyDescent="0.85">
      <c r="N84" s="30"/>
    </row>
    <row r="85" spans="14:14" x14ac:dyDescent="0.85">
      <c r="N85" s="30"/>
    </row>
    <row r="86" spans="14:14" x14ac:dyDescent="0.85">
      <c r="N86" s="30"/>
    </row>
    <row r="87" spans="14:14" x14ac:dyDescent="0.85">
      <c r="N87" s="30"/>
    </row>
    <row r="88" spans="14:14" x14ac:dyDescent="0.85">
      <c r="N88" s="30"/>
    </row>
    <row r="89" spans="14:14" x14ac:dyDescent="0.85">
      <c r="N89" s="30"/>
    </row>
    <row r="90" spans="14:14" x14ac:dyDescent="0.85">
      <c r="N90" s="30"/>
    </row>
    <row r="91" spans="14:14" x14ac:dyDescent="0.85">
      <c r="N91" s="30"/>
    </row>
    <row r="92" spans="14:14" x14ac:dyDescent="0.85">
      <c r="N92" s="30"/>
    </row>
    <row r="93" spans="14:14" x14ac:dyDescent="0.85">
      <c r="N93" s="30"/>
    </row>
    <row r="94" spans="14:14" x14ac:dyDescent="0.85">
      <c r="N94" s="30"/>
    </row>
    <row r="95" spans="14:14" x14ac:dyDescent="0.85">
      <c r="N95" s="30"/>
    </row>
    <row r="96" spans="14:14" x14ac:dyDescent="0.85">
      <c r="N96" s="30"/>
    </row>
    <row r="97" spans="14:14" x14ac:dyDescent="0.85">
      <c r="N97" s="30"/>
    </row>
    <row r="98" spans="14:14" x14ac:dyDescent="0.85">
      <c r="N98" s="30"/>
    </row>
    <row r="99" spans="14:14" x14ac:dyDescent="0.85">
      <c r="N99" s="30"/>
    </row>
    <row r="100" spans="14:14" x14ac:dyDescent="0.85">
      <c r="N100" s="30"/>
    </row>
    <row r="101" spans="14:14" x14ac:dyDescent="0.85">
      <c r="N101" s="30"/>
    </row>
    <row r="102" spans="14:14" x14ac:dyDescent="0.85">
      <c r="N102" s="30"/>
    </row>
    <row r="103" spans="14:14" x14ac:dyDescent="0.85">
      <c r="N103" s="30"/>
    </row>
    <row r="104" spans="14:14" x14ac:dyDescent="0.85">
      <c r="N104" s="30"/>
    </row>
    <row r="105" spans="14:14" x14ac:dyDescent="0.85">
      <c r="N105" s="30"/>
    </row>
    <row r="106" spans="14:14" x14ac:dyDescent="0.85">
      <c r="N106" s="30"/>
    </row>
    <row r="107" spans="14:14" x14ac:dyDescent="0.85">
      <c r="N107" s="30"/>
    </row>
    <row r="108" spans="14:14" x14ac:dyDescent="0.85">
      <c r="N108" s="30"/>
    </row>
    <row r="109" spans="14:14" x14ac:dyDescent="0.85">
      <c r="N109" s="30"/>
    </row>
    <row r="110" spans="14:14" x14ac:dyDescent="0.85">
      <c r="N110" s="30"/>
    </row>
    <row r="111" spans="14:14" x14ac:dyDescent="0.85">
      <c r="N111" s="30"/>
    </row>
    <row r="112" spans="14:14" x14ac:dyDescent="0.85">
      <c r="N112" s="30"/>
    </row>
    <row r="113" spans="14:14" x14ac:dyDescent="0.85">
      <c r="N113" s="30"/>
    </row>
    <row r="114" spans="14:14" x14ac:dyDescent="0.85">
      <c r="N114" s="30"/>
    </row>
    <row r="115" spans="14:14" x14ac:dyDescent="0.85">
      <c r="N115" s="30"/>
    </row>
    <row r="116" spans="14:14" x14ac:dyDescent="0.85">
      <c r="N116" s="30"/>
    </row>
    <row r="117" spans="14:14" x14ac:dyDescent="0.85">
      <c r="N117" s="30"/>
    </row>
    <row r="118" spans="14:14" x14ac:dyDescent="0.85">
      <c r="N118" s="30"/>
    </row>
    <row r="119" spans="14:14" x14ac:dyDescent="0.85">
      <c r="N119" s="30"/>
    </row>
    <row r="120" spans="14:14" x14ac:dyDescent="0.85">
      <c r="N120" s="30"/>
    </row>
    <row r="121" spans="14:14" x14ac:dyDescent="0.85">
      <c r="N121" s="30"/>
    </row>
    <row r="122" spans="14:14" x14ac:dyDescent="0.85">
      <c r="N122" s="30"/>
    </row>
    <row r="123" spans="14:14" x14ac:dyDescent="0.85">
      <c r="N123" s="30"/>
    </row>
    <row r="124" spans="14:14" x14ac:dyDescent="0.85">
      <c r="N124" s="30"/>
    </row>
    <row r="125" spans="14:14" x14ac:dyDescent="0.85">
      <c r="N125" s="30"/>
    </row>
    <row r="126" spans="14:14" x14ac:dyDescent="0.85">
      <c r="N126" s="30"/>
    </row>
    <row r="127" spans="14:14" x14ac:dyDescent="0.85">
      <c r="N127" s="30"/>
    </row>
    <row r="128" spans="14:14" x14ac:dyDescent="0.85">
      <c r="N128" s="30"/>
    </row>
    <row r="129" spans="14:14" x14ac:dyDescent="0.85">
      <c r="N129" s="30"/>
    </row>
    <row r="130" spans="14:14" x14ac:dyDescent="0.85">
      <c r="N130" s="30"/>
    </row>
    <row r="131" spans="14:14" x14ac:dyDescent="0.85">
      <c r="N131" s="30"/>
    </row>
    <row r="132" spans="14:14" x14ac:dyDescent="0.85">
      <c r="N132" s="30"/>
    </row>
    <row r="133" spans="14:14" x14ac:dyDescent="0.85">
      <c r="N133" s="30"/>
    </row>
    <row r="134" spans="14:14" x14ac:dyDescent="0.85">
      <c r="N134" s="30"/>
    </row>
    <row r="135" spans="14:14" x14ac:dyDescent="0.85">
      <c r="N135" s="30"/>
    </row>
    <row r="136" spans="14:14" x14ac:dyDescent="0.85">
      <c r="N136" s="30"/>
    </row>
    <row r="137" spans="14:14" x14ac:dyDescent="0.85">
      <c r="N137" s="30"/>
    </row>
    <row r="138" spans="14:14" x14ac:dyDescent="0.85">
      <c r="N138" s="30"/>
    </row>
    <row r="139" spans="14:14" x14ac:dyDescent="0.85">
      <c r="N139" s="30"/>
    </row>
    <row r="140" spans="14:14" x14ac:dyDescent="0.85">
      <c r="N140" s="30"/>
    </row>
    <row r="141" spans="14:14" x14ac:dyDescent="0.85">
      <c r="N141" s="30"/>
    </row>
    <row r="142" spans="14:14" x14ac:dyDescent="0.85">
      <c r="N142" s="30"/>
    </row>
    <row r="143" spans="14:14" x14ac:dyDescent="0.85">
      <c r="N143" s="30"/>
    </row>
    <row r="144" spans="14:14" x14ac:dyDescent="0.85">
      <c r="N144" s="30"/>
    </row>
    <row r="145" spans="14:14" x14ac:dyDescent="0.85">
      <c r="N145" s="30"/>
    </row>
    <row r="146" spans="14:14" x14ac:dyDescent="0.85">
      <c r="N146" s="30"/>
    </row>
    <row r="147" spans="14:14" x14ac:dyDescent="0.85">
      <c r="N147" s="30"/>
    </row>
    <row r="148" spans="14:14" x14ac:dyDescent="0.85">
      <c r="N148" s="30"/>
    </row>
    <row r="149" spans="14:14" x14ac:dyDescent="0.85">
      <c r="N149" s="30"/>
    </row>
    <row r="150" spans="14:14" x14ac:dyDescent="0.85">
      <c r="N150" s="30"/>
    </row>
    <row r="151" spans="14:14" x14ac:dyDescent="0.85">
      <c r="N151" s="30"/>
    </row>
    <row r="152" spans="14:14" x14ac:dyDescent="0.85">
      <c r="N152" s="30"/>
    </row>
    <row r="153" spans="14:14" x14ac:dyDescent="0.85">
      <c r="N153" s="30"/>
    </row>
    <row r="154" spans="14:14" x14ac:dyDescent="0.85">
      <c r="N154" s="30"/>
    </row>
    <row r="155" spans="14:14" x14ac:dyDescent="0.85">
      <c r="N155" s="30"/>
    </row>
    <row r="156" spans="14:14" x14ac:dyDescent="0.85">
      <c r="N156" s="30"/>
    </row>
    <row r="157" spans="14:14" x14ac:dyDescent="0.85">
      <c r="N157" s="30"/>
    </row>
    <row r="158" spans="14:14" x14ac:dyDescent="0.85">
      <c r="N158" s="30"/>
    </row>
    <row r="159" spans="14:14" x14ac:dyDescent="0.85">
      <c r="N159" s="30"/>
    </row>
    <row r="160" spans="14:14" x14ac:dyDescent="0.85">
      <c r="N160" s="30"/>
    </row>
    <row r="161" spans="14:14" x14ac:dyDescent="0.85">
      <c r="N161" s="30"/>
    </row>
    <row r="162" spans="14:14" x14ac:dyDescent="0.85">
      <c r="N162" s="30"/>
    </row>
    <row r="163" spans="14:14" x14ac:dyDescent="0.85">
      <c r="N163" s="30"/>
    </row>
    <row r="164" spans="14:14" x14ac:dyDescent="0.85">
      <c r="N164" s="30"/>
    </row>
    <row r="165" spans="14:14" x14ac:dyDescent="0.85">
      <c r="N165" s="30"/>
    </row>
    <row r="166" spans="14:14" x14ac:dyDescent="0.85">
      <c r="N166" s="30"/>
    </row>
    <row r="167" spans="14:14" x14ac:dyDescent="0.85">
      <c r="N167" s="30"/>
    </row>
    <row r="168" spans="14:14" x14ac:dyDescent="0.85">
      <c r="N168" s="30"/>
    </row>
    <row r="169" spans="14:14" x14ac:dyDescent="0.85">
      <c r="N169" s="30"/>
    </row>
    <row r="170" spans="14:14" x14ac:dyDescent="0.85">
      <c r="N170" s="30"/>
    </row>
    <row r="171" spans="14:14" x14ac:dyDescent="0.85">
      <c r="N171" s="30"/>
    </row>
    <row r="172" spans="14:14" x14ac:dyDescent="0.85">
      <c r="N172" s="30"/>
    </row>
    <row r="173" spans="14:14" x14ac:dyDescent="0.85">
      <c r="N173" s="30"/>
    </row>
    <row r="174" spans="14:14" x14ac:dyDescent="0.85">
      <c r="N174" s="30"/>
    </row>
    <row r="175" spans="14:14" x14ac:dyDescent="0.85">
      <c r="N175" s="30"/>
    </row>
    <row r="176" spans="14:14" x14ac:dyDescent="0.85">
      <c r="N176" s="30"/>
    </row>
    <row r="177" spans="14:14" x14ac:dyDescent="0.85">
      <c r="N177" s="30"/>
    </row>
    <row r="178" spans="14:14" x14ac:dyDescent="0.85">
      <c r="N178" s="30"/>
    </row>
    <row r="179" spans="14:14" x14ac:dyDescent="0.85">
      <c r="N179" s="30"/>
    </row>
    <row r="180" spans="14:14" x14ac:dyDescent="0.85">
      <c r="N180" s="30"/>
    </row>
    <row r="181" spans="14:14" x14ac:dyDescent="0.85">
      <c r="N181" s="30"/>
    </row>
    <row r="182" spans="14:14" x14ac:dyDescent="0.85">
      <c r="N182" s="30"/>
    </row>
    <row r="183" spans="14:14" x14ac:dyDescent="0.85">
      <c r="N183" s="30"/>
    </row>
    <row r="184" spans="14:14" x14ac:dyDescent="0.85">
      <c r="N184" s="30"/>
    </row>
    <row r="185" spans="14:14" x14ac:dyDescent="0.85">
      <c r="N185" s="30"/>
    </row>
    <row r="186" spans="14:14" x14ac:dyDescent="0.85">
      <c r="N186" s="30"/>
    </row>
    <row r="187" spans="14:14" x14ac:dyDescent="0.85">
      <c r="N187" s="30"/>
    </row>
    <row r="188" spans="14:14" x14ac:dyDescent="0.85">
      <c r="N188" s="30"/>
    </row>
    <row r="189" spans="14:14" x14ac:dyDescent="0.85">
      <c r="N189" s="30"/>
    </row>
    <row r="190" spans="14:14" x14ac:dyDescent="0.85">
      <c r="N190" s="30"/>
    </row>
    <row r="191" spans="14:14" x14ac:dyDescent="0.85">
      <c r="N191" s="30"/>
    </row>
    <row r="192" spans="14:14" x14ac:dyDescent="0.85">
      <c r="N192" s="30"/>
    </row>
    <row r="193" spans="14:14" x14ac:dyDescent="0.85">
      <c r="N193" s="30"/>
    </row>
    <row r="194" spans="14:14" x14ac:dyDescent="0.85">
      <c r="N194" s="30"/>
    </row>
    <row r="195" spans="14:14" x14ac:dyDescent="0.85">
      <c r="N195"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BFE6E-E083-4D85-890B-3714A085BB23}">
  <dimension ref="A1:H14"/>
  <sheetViews>
    <sheetView workbookViewId="0">
      <selection activeCell="D13" sqref="D13"/>
    </sheetView>
  </sheetViews>
  <sheetFormatPr defaultRowHeight="14.6" x14ac:dyDescent="0.85"/>
  <cols>
    <col min="1" max="1" width="18.73046875" customWidth="1"/>
  </cols>
  <sheetData>
    <row r="1" spans="1:8" x14ac:dyDescent="0.85">
      <c r="A1" t="s">
        <v>310</v>
      </c>
    </row>
    <row r="2" spans="1:8" x14ac:dyDescent="0.85">
      <c r="A2" t="s">
        <v>319</v>
      </c>
      <c r="B2" t="s">
        <v>62</v>
      </c>
      <c r="C2" t="s">
        <v>74</v>
      </c>
      <c r="D2" t="s">
        <v>55</v>
      </c>
      <c r="E2" t="s">
        <v>56</v>
      </c>
      <c r="F2" t="s">
        <v>53</v>
      </c>
      <c r="G2" t="s">
        <v>64</v>
      </c>
      <c r="H2" t="s">
        <v>323</v>
      </c>
    </row>
    <row r="3" spans="1:8" x14ac:dyDescent="0.85">
      <c r="A3" t="s">
        <v>320</v>
      </c>
      <c r="B3" s="29">
        <f ca="1">Calc!B22</f>
        <v>1448000</v>
      </c>
      <c r="C3" s="29">
        <f ca="1">Calc!C22</f>
        <v>2098000</v>
      </c>
      <c r="D3" s="29">
        <f ca="1">Calc!D22</f>
        <v>7777000</v>
      </c>
      <c r="E3" s="29">
        <f ca="1">Calc!E22</f>
        <v>1330000</v>
      </c>
      <c r="F3" s="29">
        <f ca="1">Calc!F22</f>
        <v>4507000</v>
      </c>
      <c r="G3" s="29">
        <f ca="1">Calc!G23</f>
        <v>317500</v>
      </c>
      <c r="H3" t="s">
        <v>325</v>
      </c>
    </row>
    <row r="4" spans="1:8" x14ac:dyDescent="0.85">
      <c r="A4" t="s">
        <v>321</v>
      </c>
      <c r="B4" s="29">
        <f ca="1">Calc!B40</f>
        <v>25243.450199999999</v>
      </c>
      <c r="C4" s="29">
        <f ca="1">Calc!C40</f>
        <v>36887.328000000001</v>
      </c>
      <c r="D4" s="29">
        <f ca="1">Calc!D40</f>
        <v>137038.87800000003</v>
      </c>
      <c r="E4" s="29">
        <f ca="1">Calc!E40</f>
        <v>21277.711800000001</v>
      </c>
      <c r="F4" s="29">
        <f ca="1">Calc!F40</f>
        <v>52902.80999999999</v>
      </c>
      <c r="G4" s="29">
        <f ca="1">Calc!G41</f>
        <v>11448.396000000001</v>
      </c>
      <c r="H4" t="s">
        <v>326</v>
      </c>
    </row>
    <row r="5" spans="1:8" x14ac:dyDescent="0.85">
      <c r="A5" t="s">
        <v>327</v>
      </c>
      <c r="B5" s="29">
        <f ca="1">Calc!B42</f>
        <v>0</v>
      </c>
      <c r="C5" s="29">
        <f ca="1">Calc!C42</f>
        <v>0</v>
      </c>
      <c r="D5" s="29">
        <f ca="1">Calc!D42</f>
        <v>10.11</v>
      </c>
      <c r="E5" s="29">
        <f ca="1">Calc!E42</f>
        <v>24.4</v>
      </c>
      <c r="F5" s="29">
        <f ca="1">Calc!F42</f>
        <v>23.28</v>
      </c>
      <c r="G5" s="29">
        <f ca="1">Calc!G42</f>
        <v>13.77</v>
      </c>
      <c r="H5" t="s">
        <v>328</v>
      </c>
    </row>
    <row r="6" spans="1:8" x14ac:dyDescent="0.85">
      <c r="A6" t="s">
        <v>322</v>
      </c>
      <c r="B6">
        <f>'CO2'!B4</f>
        <v>5.0000000000000001E-3</v>
      </c>
      <c r="C6">
        <f>'CO2'!C4</f>
        <v>4.0000000000000001E-3</v>
      </c>
      <c r="D6">
        <f>'CO2'!D4</f>
        <v>3.0000000000000001E-3</v>
      </c>
      <c r="E6">
        <f>'CO2'!E4</f>
        <v>0.49</v>
      </c>
      <c r="F6">
        <f>'CO2'!F4</f>
        <v>0.82</v>
      </c>
      <c r="G6">
        <f>'CO2'!G4</f>
        <v>0.11125</v>
      </c>
      <c r="H6" t="s">
        <v>329</v>
      </c>
    </row>
    <row r="7" spans="1:8" x14ac:dyDescent="0.85">
      <c r="A7" t="s">
        <v>318</v>
      </c>
      <c r="B7" s="29">
        <f ca="1">Calc!B17</f>
        <v>30</v>
      </c>
      <c r="C7" s="29">
        <f ca="1">Calc!C17</f>
        <v>25</v>
      </c>
      <c r="D7" s="29">
        <f ca="1">Calc!D17</f>
        <v>40</v>
      </c>
      <c r="E7" s="29">
        <f ca="1">Calc!E17</f>
        <v>25</v>
      </c>
      <c r="F7" s="29">
        <f ca="1">Calc!F17</f>
        <v>40</v>
      </c>
      <c r="G7" s="29">
        <f ca="1">Calc!G17</f>
        <v>10</v>
      </c>
      <c r="H7" t="s">
        <v>324</v>
      </c>
    </row>
    <row r="9" spans="1:8" x14ac:dyDescent="0.85"/>
    <row r="10" spans="1:8" x14ac:dyDescent="0.85"/>
    <row r="11" spans="1:8" x14ac:dyDescent="0.85"/>
    <row r="12" spans="1:8" x14ac:dyDescent="0.85"/>
    <row r="13" spans="1:8" x14ac:dyDescent="0.85"/>
    <row r="14" spans="1:8" x14ac:dyDescent="0.8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7AAFA-EB52-4247-B23F-BFE6BC5BF6E4}">
  <dimension ref="A1:I17"/>
  <sheetViews>
    <sheetView workbookViewId="0">
      <selection activeCell="B17" sqref="B17"/>
    </sheetView>
  </sheetViews>
  <sheetFormatPr defaultRowHeight="14.6" x14ac:dyDescent="0.85"/>
  <cols>
    <col min="1" max="1" width="13.421875" customWidth="1"/>
  </cols>
  <sheetData>
    <row r="1" spans="1:9" ht="14.65" x14ac:dyDescent="0.85">
      <c r="I1" s="1" t="s">
        <v>317</v>
      </c>
    </row>
    <row r="2" spans="1:9" ht="14.65" x14ac:dyDescent="0.85">
      <c r="B2" t="s">
        <v>62</v>
      </c>
      <c r="C2" t="s">
        <v>74</v>
      </c>
      <c r="D2" t="s">
        <v>55</v>
      </c>
      <c r="E2" t="s">
        <v>56</v>
      </c>
      <c r="F2" t="s">
        <v>53</v>
      </c>
      <c r="G2" t="s">
        <v>64</v>
      </c>
    </row>
    <row r="3" spans="1:9" ht="14.65" x14ac:dyDescent="0.85">
      <c r="A3" t="s">
        <v>76</v>
      </c>
      <c r="B3">
        <v>5</v>
      </c>
      <c r="C3">
        <v>4</v>
      </c>
      <c r="D3">
        <v>3</v>
      </c>
      <c r="E3">
        <v>490</v>
      </c>
      <c r="F3">
        <v>820</v>
      </c>
    </row>
    <row r="4" spans="1:9" ht="14.65" x14ac:dyDescent="0.85">
      <c r="A4" t="s">
        <v>77</v>
      </c>
      <c r="B4">
        <f>B3/1000</f>
        <v>5.0000000000000001E-3</v>
      </c>
      <c r="C4">
        <f t="shared" ref="C4:F4" si="0">C3/1000</f>
        <v>4.0000000000000001E-3</v>
      </c>
      <c r="D4">
        <f t="shared" si="0"/>
        <v>3.0000000000000001E-3</v>
      </c>
      <c r="E4">
        <f t="shared" si="0"/>
        <v>0.49</v>
      </c>
      <c r="F4">
        <f t="shared" si="0"/>
        <v>0.82</v>
      </c>
      <c r="G4">
        <f>A17</f>
        <v>0.11125</v>
      </c>
    </row>
    <row r="8" spans="1:9" ht="14.65" x14ac:dyDescent="0.85">
      <c r="A8" t="s">
        <v>75</v>
      </c>
      <c r="B8">
        <v>1.102311</v>
      </c>
    </row>
    <row r="11" spans="1:9" ht="14.65" x14ac:dyDescent="0.85">
      <c r="A11" s="1" t="s">
        <v>311</v>
      </c>
    </row>
    <row r="13" spans="1:9" ht="44.65" customHeight="1" x14ac:dyDescent="0.85">
      <c r="A13" s="46" t="s">
        <v>312</v>
      </c>
      <c r="B13" s="46"/>
      <c r="C13" s="46"/>
      <c r="D13" s="46"/>
      <c r="E13" s="46"/>
      <c r="F13" s="46"/>
      <c r="G13" s="46"/>
    </row>
    <row r="15" spans="1:9" ht="14.65" x14ac:dyDescent="0.85">
      <c r="A15">
        <v>89</v>
      </c>
      <c r="B15" t="s">
        <v>314</v>
      </c>
      <c r="C15" t="s">
        <v>313</v>
      </c>
    </row>
    <row r="16" spans="1:9" x14ac:dyDescent="0.85">
      <c r="A16">
        <f>A15/800</f>
        <v>0.11125</v>
      </c>
      <c r="B16" t="s">
        <v>314</v>
      </c>
      <c r="C16" t="s">
        <v>315</v>
      </c>
    </row>
    <row r="17" spans="1:2" x14ac:dyDescent="0.85">
      <c r="A17">
        <f>A16</f>
        <v>0.11125</v>
      </c>
      <c r="B17" t="s">
        <v>316</v>
      </c>
    </row>
  </sheetData>
  <mergeCells count="1">
    <mergeCell ref="A13:G13"/>
  </mergeCells>
  <hyperlinks>
    <hyperlink ref="A11" r:id="rId1" display="https://www.forbes.com/sites/rrapier/2020/02/16/estimating-the-carbon-footprint-of-utility-scale-battery-storage/?sh=4b31ab6c7adb" xr:uid="{453704AF-5056-4968-92A6-59BD762EF25C}"/>
    <hyperlink ref="I1" r:id="rId2" display="https://ourworldindata.org/safest-sources-of-energy" xr:uid="{F1DC0B29-2C1B-4ADB-96AF-87A5A0FCB00B}"/>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9436D-2104-4739-8035-FDCD077752FE}">
  <dimension ref="A1:U38"/>
  <sheetViews>
    <sheetView workbookViewId="0">
      <selection activeCell="A16" sqref="A16"/>
    </sheetView>
  </sheetViews>
  <sheetFormatPr defaultColWidth="9.11328125" defaultRowHeight="12" x14ac:dyDescent="0.7"/>
  <cols>
    <col min="1" max="1" width="23.11328125" style="2" bestFit="1" customWidth="1"/>
    <col min="2" max="5" width="9.11328125" style="2"/>
    <col min="6" max="6" width="10.3828125" style="2" customWidth="1"/>
    <col min="7" max="7" width="10" style="2" customWidth="1"/>
    <col min="8" max="9" width="9.11328125" style="2"/>
    <col min="10" max="10" width="2.61328125" style="20" customWidth="1"/>
    <col min="11" max="15" width="9.11328125" style="2"/>
    <col min="16" max="16" width="15.57421875" style="2" customWidth="1"/>
    <col min="17" max="17" width="9.11328125" style="2"/>
    <col min="18" max="18" width="15.3046875" style="2" customWidth="1"/>
    <col min="19" max="16384" width="9.11328125" style="2"/>
  </cols>
  <sheetData>
    <row r="1" spans="1:21" ht="14.6" x14ac:dyDescent="0.85">
      <c r="A1" s="1" t="s">
        <v>0</v>
      </c>
    </row>
    <row r="2" spans="1:21" ht="15.9" x14ac:dyDescent="0.9">
      <c r="A2" s="3" t="s">
        <v>1</v>
      </c>
      <c r="J2" s="20" t="s">
        <v>50</v>
      </c>
      <c r="L2" s="2">
        <f>365.25 * 24</f>
        <v>8766</v>
      </c>
    </row>
    <row r="3" spans="1:21" ht="15.9" x14ac:dyDescent="0.9">
      <c r="A3" s="3" t="s">
        <v>2</v>
      </c>
    </row>
    <row r="4" spans="1:21" ht="48.65" thickBot="1" x14ac:dyDescent="0.85">
      <c r="A4" s="4" t="s">
        <v>3</v>
      </c>
      <c r="B4" s="4" t="s">
        <v>4</v>
      </c>
      <c r="C4" s="4" t="s">
        <v>5</v>
      </c>
      <c r="D4" s="4" t="s">
        <v>6</v>
      </c>
      <c r="E4" s="4" t="s">
        <v>7</v>
      </c>
      <c r="F4" s="4" t="s">
        <v>8</v>
      </c>
      <c r="G4" s="4" t="s">
        <v>9</v>
      </c>
      <c r="H4" s="4" t="s">
        <v>10</v>
      </c>
      <c r="I4" s="4" t="s">
        <v>11</v>
      </c>
      <c r="J4" s="21"/>
      <c r="K4" s="4" t="s">
        <v>65</v>
      </c>
      <c r="L4" s="4"/>
      <c r="M4" s="4" t="s">
        <v>51</v>
      </c>
      <c r="N4" s="4" t="s">
        <v>52</v>
      </c>
    </row>
    <row r="5" spans="1:21" ht="12.65" thickTop="1" x14ac:dyDescent="0.7">
      <c r="A5" s="5" t="s">
        <v>12</v>
      </c>
      <c r="B5" s="5"/>
      <c r="C5" s="5"/>
      <c r="D5" s="5"/>
      <c r="E5" s="5"/>
      <c r="F5" s="5"/>
      <c r="G5" s="5"/>
      <c r="H5" s="5"/>
      <c r="I5" s="5"/>
      <c r="J5" s="22"/>
      <c r="K5" s="5"/>
      <c r="L5" s="5"/>
      <c r="M5" s="5"/>
      <c r="N5" s="5"/>
    </row>
    <row r="6" spans="1:21" x14ac:dyDescent="0.7">
      <c r="A6" s="6" t="s">
        <v>13</v>
      </c>
      <c r="B6" s="7">
        <v>0.85</v>
      </c>
      <c r="C6" s="8">
        <v>57.73</v>
      </c>
      <c r="D6" s="8">
        <v>7.1</v>
      </c>
      <c r="E6" s="8">
        <v>23.28</v>
      </c>
      <c r="F6" s="8">
        <v>1.22</v>
      </c>
      <c r="G6" s="8">
        <v>89.33</v>
      </c>
      <c r="H6" s="9" t="s">
        <v>14</v>
      </c>
      <c r="I6" s="8">
        <v>89.33</v>
      </c>
      <c r="J6" s="23"/>
      <c r="K6" s="19">
        <f>1/(Hours_per_year*B6)</f>
        <v>1.3420837191824026E-4</v>
      </c>
      <c r="L6" s="19" t="s">
        <v>53</v>
      </c>
      <c r="M6" s="8">
        <f>(C6+D6)/K6</f>
        <v>483054.81299999997</v>
      </c>
      <c r="N6" s="8">
        <f>E6</f>
        <v>23.28</v>
      </c>
      <c r="P6" s="10" t="s">
        <v>15</v>
      </c>
      <c r="Q6" s="11">
        <f>C6+D6</f>
        <v>64.83</v>
      </c>
      <c r="R6" s="10" t="s">
        <v>16</v>
      </c>
      <c r="S6" s="11">
        <f>E6</f>
        <v>23.28</v>
      </c>
      <c r="T6" s="2" t="s">
        <v>17</v>
      </c>
      <c r="U6" s="12" t="s">
        <v>18</v>
      </c>
    </row>
    <row r="7" spans="1:21" x14ac:dyDescent="0.7">
      <c r="A7" s="6" t="s">
        <v>19</v>
      </c>
      <c r="B7" s="7">
        <v>0.83</v>
      </c>
      <c r="C7" s="8">
        <v>44.66</v>
      </c>
      <c r="D7" s="8">
        <v>20.5</v>
      </c>
      <c r="E7" s="8">
        <v>28.7</v>
      </c>
      <c r="F7" s="8">
        <v>1.3</v>
      </c>
      <c r="G7" s="8">
        <v>95.16</v>
      </c>
      <c r="H7" s="8">
        <v>-18</v>
      </c>
      <c r="I7" s="8">
        <v>77.16</v>
      </c>
      <c r="J7" s="23"/>
      <c r="K7" s="19">
        <f>1/(Hours_per_year*B7)</f>
        <v>1.3744230859096896E-4</v>
      </c>
      <c r="L7" s="19" t="s">
        <v>54</v>
      </c>
      <c r="M7" s="8">
        <f>(C7+D7)/K7</f>
        <v>474089.82479999994</v>
      </c>
      <c r="N7" s="8">
        <f t="shared" ref="N7:N10" si="0">E7</f>
        <v>28.7</v>
      </c>
      <c r="P7" s="10"/>
      <c r="Q7" s="11"/>
      <c r="R7" s="10"/>
      <c r="S7" s="11"/>
      <c r="U7" s="12"/>
    </row>
    <row r="8" spans="1:21" x14ac:dyDescent="0.7">
      <c r="A8" s="6" t="s">
        <v>20</v>
      </c>
      <c r="B8" s="7">
        <v>0.9</v>
      </c>
      <c r="C8" s="8">
        <v>62.17</v>
      </c>
      <c r="D8" s="8">
        <v>17.37</v>
      </c>
      <c r="E8" s="8">
        <v>10.11</v>
      </c>
      <c r="F8" s="8">
        <v>1.1499999999999999</v>
      </c>
      <c r="G8" s="8">
        <v>90.800000000000011</v>
      </c>
      <c r="H8" s="8">
        <v>-19.8</v>
      </c>
      <c r="I8" s="8">
        <v>71.000000000000014</v>
      </c>
      <c r="J8" s="23"/>
      <c r="K8" s="19">
        <f>1/(Hours_per_year*B8)</f>
        <v>1.267523512561158E-4</v>
      </c>
      <c r="L8" s="19" t="s">
        <v>55</v>
      </c>
      <c r="M8" s="8">
        <f>(C8+D8)/K8</f>
        <v>627522.87600000005</v>
      </c>
      <c r="N8" s="8">
        <f t="shared" si="0"/>
        <v>10.11</v>
      </c>
      <c r="P8" s="10" t="s">
        <v>21</v>
      </c>
      <c r="Q8" s="11">
        <f t="shared" ref="Q8:Q16" si="1">C8+D8</f>
        <v>79.540000000000006</v>
      </c>
      <c r="R8" s="10" t="s">
        <v>22</v>
      </c>
      <c r="S8" s="11">
        <f t="shared" ref="S8:S16" si="2">E8</f>
        <v>10.11</v>
      </c>
      <c r="T8" s="2" t="s">
        <v>23</v>
      </c>
      <c r="U8" s="12" t="s">
        <v>18</v>
      </c>
    </row>
    <row r="9" spans="1:21" x14ac:dyDescent="0.7">
      <c r="A9" s="6" t="s">
        <v>24</v>
      </c>
      <c r="B9" s="7">
        <v>0.87</v>
      </c>
      <c r="C9" s="8">
        <v>14.29</v>
      </c>
      <c r="D9" s="8">
        <v>2.79</v>
      </c>
      <c r="E9" s="8">
        <v>24.4</v>
      </c>
      <c r="F9" s="8">
        <v>1.24</v>
      </c>
      <c r="G9" s="8">
        <v>42.72</v>
      </c>
      <c r="H9" s="9" t="s">
        <v>14</v>
      </c>
      <c r="I9" s="8">
        <v>42.72</v>
      </c>
      <c r="J9" s="23"/>
      <c r="K9" s="19">
        <f>1/(Hours_per_year*B9)</f>
        <v>1.3112312198908531E-4</v>
      </c>
      <c r="L9" s="19" t="s">
        <v>56</v>
      </c>
      <c r="M9" s="8">
        <f>(C9+D9)/K9</f>
        <v>130259.2536</v>
      </c>
      <c r="N9" s="8">
        <f t="shared" si="0"/>
        <v>24.4</v>
      </c>
      <c r="P9" s="10" t="s">
        <v>25</v>
      </c>
      <c r="Q9" s="11">
        <f t="shared" si="1"/>
        <v>17.079999999999998</v>
      </c>
      <c r="R9" s="10" t="s">
        <v>26</v>
      </c>
      <c r="S9" s="11">
        <f t="shared" si="2"/>
        <v>24.4</v>
      </c>
      <c r="T9" s="2" t="s">
        <v>23</v>
      </c>
      <c r="U9" s="12" t="s">
        <v>18</v>
      </c>
    </row>
    <row r="10" spans="1:21" x14ac:dyDescent="0.7">
      <c r="A10" s="6" t="s">
        <v>27</v>
      </c>
      <c r="B10" s="7">
        <v>0.9</v>
      </c>
      <c r="C10" s="8">
        <v>24.08</v>
      </c>
      <c r="D10" s="8">
        <v>17.61</v>
      </c>
      <c r="E10" s="8">
        <v>1.31</v>
      </c>
      <c r="F10" s="8">
        <v>1.52</v>
      </c>
      <c r="G10" s="8">
        <v>44.52</v>
      </c>
      <c r="H10" s="8">
        <v>-7.22</v>
      </c>
      <c r="I10" s="8">
        <v>37.300000000000004</v>
      </c>
      <c r="J10" s="23"/>
      <c r="K10" s="19">
        <f>1/(Hours_per_year*B10)</f>
        <v>1.267523512561158E-4</v>
      </c>
      <c r="L10" s="19" t="s">
        <v>57</v>
      </c>
      <c r="M10" s="8">
        <f>(C10+D10)/K10</f>
        <v>328909.08600000001</v>
      </c>
      <c r="N10" s="8">
        <f t="shared" si="0"/>
        <v>1.31</v>
      </c>
      <c r="P10" s="10"/>
      <c r="Q10" s="11"/>
      <c r="R10" s="10"/>
      <c r="S10" s="11"/>
      <c r="U10" s="12"/>
    </row>
    <row r="11" spans="1:21" x14ac:dyDescent="0.7">
      <c r="A11" s="13" t="s">
        <v>28</v>
      </c>
      <c r="B11" s="14"/>
      <c r="C11" s="15"/>
      <c r="D11" s="15"/>
      <c r="E11" s="15"/>
      <c r="F11" s="15"/>
      <c r="G11" s="15"/>
      <c r="H11" s="15"/>
      <c r="I11" s="15"/>
      <c r="J11" s="24"/>
      <c r="K11" s="15"/>
      <c r="L11" s="15"/>
      <c r="M11" s="15"/>
      <c r="N11" s="15"/>
      <c r="P11" s="10"/>
      <c r="Q11" s="11"/>
      <c r="R11" s="10"/>
      <c r="S11" s="11"/>
      <c r="U11" s="12"/>
    </row>
    <row r="12" spans="1:21" x14ac:dyDescent="0.7">
      <c r="A12" s="6" t="s">
        <v>29</v>
      </c>
      <c r="B12" s="7">
        <v>0.44</v>
      </c>
      <c r="C12" s="8">
        <v>89.61</v>
      </c>
      <c r="D12" s="8">
        <v>34.86</v>
      </c>
      <c r="E12" s="8">
        <v>0</v>
      </c>
      <c r="F12" s="8">
        <v>2.75</v>
      </c>
      <c r="G12" s="8">
        <v>127.22</v>
      </c>
      <c r="H12" s="8">
        <v>-26.88</v>
      </c>
      <c r="I12" s="8">
        <v>100.34</v>
      </c>
      <c r="J12" s="23"/>
      <c r="K12" s="19">
        <f>1/(Hours_per_year*B12)</f>
        <v>2.5926617302387324E-4</v>
      </c>
      <c r="L12" s="19" t="s">
        <v>58</v>
      </c>
      <c r="M12" s="8">
        <f>(C12+D12)/K12</f>
        <v>480085.76879999996</v>
      </c>
      <c r="N12" s="8">
        <f>E12</f>
        <v>0</v>
      </c>
      <c r="P12" s="10"/>
      <c r="Q12" s="11"/>
      <c r="R12" s="10"/>
      <c r="S12" s="11"/>
      <c r="U12" s="12"/>
    </row>
    <row r="13" spans="1:21" x14ac:dyDescent="0.7">
      <c r="A13" s="6" t="s">
        <v>30</v>
      </c>
      <c r="B13" s="7">
        <v>0.56000000000000005</v>
      </c>
      <c r="C13" s="8">
        <v>52.14</v>
      </c>
      <c r="D13" s="8">
        <v>14.34</v>
      </c>
      <c r="E13" s="8">
        <v>4.1500000000000004</v>
      </c>
      <c r="F13" s="8">
        <v>2.13</v>
      </c>
      <c r="G13" s="8">
        <v>72.760000000000005</v>
      </c>
      <c r="H13" s="8">
        <v>-15.64</v>
      </c>
      <c r="I13" s="8">
        <v>57.120000000000005</v>
      </c>
      <c r="J13" s="23"/>
      <c r="K13" s="19">
        <f>1/(Hours_per_year*B13)</f>
        <v>2.0370913594732897E-4</v>
      </c>
      <c r="L13" s="19" t="s">
        <v>59</v>
      </c>
      <c r="M13" s="8">
        <f>(C13+D13)/K13</f>
        <v>326347.66080000001</v>
      </c>
      <c r="N13" s="8">
        <f t="shared" ref="N13:N16" si="3">E13</f>
        <v>4.1500000000000004</v>
      </c>
      <c r="P13" s="10" t="s">
        <v>31</v>
      </c>
      <c r="Q13" s="11">
        <f t="shared" si="1"/>
        <v>66.48</v>
      </c>
      <c r="R13" s="10" t="s">
        <v>32</v>
      </c>
      <c r="S13" s="11">
        <f t="shared" si="2"/>
        <v>4.1500000000000004</v>
      </c>
      <c r="T13" s="2" t="s">
        <v>23</v>
      </c>
      <c r="U13" s="12" t="s">
        <v>18</v>
      </c>
    </row>
    <row r="14" spans="1:21" ht="24" x14ac:dyDescent="0.7">
      <c r="A14" s="6" t="s">
        <v>33</v>
      </c>
      <c r="B14" s="7">
        <v>0.28000000000000003</v>
      </c>
      <c r="C14" s="8">
        <v>34.090000000000003</v>
      </c>
      <c r="D14" s="8">
        <v>16.34</v>
      </c>
      <c r="E14" s="8">
        <v>0</v>
      </c>
      <c r="F14" s="8">
        <v>3.84</v>
      </c>
      <c r="G14" s="8">
        <v>54.27000000000001</v>
      </c>
      <c r="H14" s="8">
        <v>-18</v>
      </c>
      <c r="I14" s="8">
        <v>36.27000000000001</v>
      </c>
      <c r="J14" s="23"/>
      <c r="K14" s="19">
        <f>1/(Hours_per_year*B14)</f>
        <v>4.0741827189465793E-4</v>
      </c>
      <c r="L14" s="19" t="s">
        <v>60</v>
      </c>
      <c r="M14" s="8">
        <f>(C14+D14)/K14</f>
        <v>123779.42640000001</v>
      </c>
      <c r="N14" s="8">
        <f t="shared" si="3"/>
        <v>0</v>
      </c>
      <c r="P14" s="10"/>
      <c r="Q14" s="11"/>
      <c r="R14" s="10"/>
      <c r="S14" s="11"/>
      <c r="U14" s="12"/>
    </row>
    <row r="15" spans="1:21" x14ac:dyDescent="0.7">
      <c r="A15" s="6" t="s">
        <v>34</v>
      </c>
      <c r="B15" s="7">
        <v>0.4</v>
      </c>
      <c r="C15" s="8">
        <v>37.46</v>
      </c>
      <c r="D15" s="8">
        <v>10.52</v>
      </c>
      <c r="E15" s="8">
        <v>0</v>
      </c>
      <c r="F15" s="8">
        <v>2.89</v>
      </c>
      <c r="G15" s="8">
        <v>50.870000000000005</v>
      </c>
      <c r="H15" s="8">
        <v>-19.8</v>
      </c>
      <c r="I15" s="8">
        <v>31.070000000000004</v>
      </c>
      <c r="J15" s="23"/>
      <c r="K15" s="19">
        <f>1/(Hours_per_year*B15)</f>
        <v>2.8519279032626052E-4</v>
      </c>
      <c r="L15" s="19" t="s">
        <v>61</v>
      </c>
      <c r="M15" s="8">
        <f>(C15+D15)/K15</f>
        <v>168237.07200000004</v>
      </c>
      <c r="N15" s="8">
        <f t="shared" si="3"/>
        <v>0</v>
      </c>
      <c r="P15" s="10" t="s">
        <v>35</v>
      </c>
      <c r="Q15" s="11">
        <f t="shared" si="1"/>
        <v>47.980000000000004</v>
      </c>
      <c r="R15" s="10" t="s">
        <v>36</v>
      </c>
      <c r="S15" s="11">
        <f t="shared" si="2"/>
        <v>0</v>
      </c>
      <c r="T15" s="2" t="s">
        <v>23</v>
      </c>
      <c r="U15" s="12" t="s">
        <v>18</v>
      </c>
    </row>
    <row r="16" spans="1:21" x14ac:dyDescent="0.7">
      <c r="A16" s="6" t="s">
        <v>37</v>
      </c>
      <c r="B16" s="7">
        <v>0.28999999999999998</v>
      </c>
      <c r="C16" s="8">
        <v>27.53</v>
      </c>
      <c r="D16" s="8">
        <v>9.93</v>
      </c>
      <c r="E16" s="8">
        <v>0</v>
      </c>
      <c r="F16" s="8">
        <v>3.76</v>
      </c>
      <c r="G16" s="8">
        <v>41.22</v>
      </c>
      <c r="H16" s="8">
        <v>-18</v>
      </c>
      <c r="I16" s="8">
        <v>23.22</v>
      </c>
      <c r="J16" s="23"/>
      <c r="K16" s="19">
        <f>1/(Hours_per_year*B16)</f>
        <v>3.9336936596725598E-4</v>
      </c>
      <c r="L16" s="19" t="s">
        <v>62</v>
      </c>
      <c r="M16" s="8">
        <f>(C16+D16)/K16</f>
        <v>95228.564399999988</v>
      </c>
      <c r="N16" s="8">
        <f t="shared" si="3"/>
        <v>0</v>
      </c>
      <c r="P16" s="10" t="s">
        <v>38</v>
      </c>
      <c r="Q16" s="11">
        <f t="shared" si="1"/>
        <v>37.46</v>
      </c>
      <c r="R16" s="10" t="s">
        <v>39</v>
      </c>
      <c r="S16" s="11">
        <f t="shared" si="2"/>
        <v>0</v>
      </c>
      <c r="T16" s="2" t="s">
        <v>23</v>
      </c>
      <c r="U16" s="12" t="s">
        <v>18</v>
      </c>
    </row>
    <row r="17" spans="1:21" ht="12.75" customHeight="1" x14ac:dyDescent="0.7">
      <c r="A17" s="5" t="s">
        <v>40</v>
      </c>
      <c r="B17" s="14"/>
      <c r="C17" s="15"/>
      <c r="D17" s="15"/>
      <c r="E17" s="15"/>
      <c r="F17" s="15"/>
      <c r="G17" s="15"/>
      <c r="H17" s="15"/>
      <c r="I17" s="15"/>
      <c r="J17" s="24"/>
      <c r="K17" s="15"/>
      <c r="L17" s="15"/>
      <c r="M17" s="15"/>
      <c r="N17" s="15"/>
      <c r="P17" s="10"/>
      <c r="Q17" s="10"/>
      <c r="R17" s="10"/>
      <c r="S17" s="10"/>
    </row>
    <row r="18" spans="1:21" x14ac:dyDescent="0.7">
      <c r="A18" s="6" t="s">
        <v>41</v>
      </c>
      <c r="B18" s="7">
        <v>0.1</v>
      </c>
      <c r="C18" s="8">
        <v>60.75</v>
      </c>
      <c r="D18" s="8">
        <v>17.600000000000001</v>
      </c>
      <c r="E18" s="8">
        <v>39.700000000000003</v>
      </c>
      <c r="F18" s="8">
        <v>10.77</v>
      </c>
      <c r="G18" s="8">
        <v>128.82</v>
      </c>
      <c r="H18" s="9" t="s">
        <v>14</v>
      </c>
      <c r="I18" s="8">
        <v>128.82</v>
      </c>
      <c r="J18" s="23"/>
      <c r="K18" s="19">
        <f>1/(Hours_per_year*B18)</f>
        <v>1.1407711613050421E-3</v>
      </c>
      <c r="L18" s="19" t="s">
        <v>63</v>
      </c>
      <c r="M18" s="8">
        <f>(C18+D18)/K18</f>
        <v>68681.61</v>
      </c>
      <c r="N18" s="8">
        <f>E18</f>
        <v>39.700000000000003</v>
      </c>
      <c r="P18" s="10"/>
      <c r="Q18" s="10"/>
      <c r="R18" s="10"/>
      <c r="S18" s="10"/>
    </row>
    <row r="19" spans="1:21" ht="12.65" thickBot="1" x14ac:dyDescent="0.85">
      <c r="A19" s="6" t="s">
        <v>42</v>
      </c>
      <c r="B19" s="7">
        <v>0.1</v>
      </c>
      <c r="C19" s="8">
        <v>57.85</v>
      </c>
      <c r="D19" s="8">
        <v>52.24</v>
      </c>
      <c r="E19" s="8">
        <v>13.77</v>
      </c>
      <c r="F19" s="8">
        <v>10.77</v>
      </c>
      <c r="G19" s="8">
        <v>134.63</v>
      </c>
      <c r="H19" s="8">
        <v>-17.36</v>
      </c>
      <c r="I19" s="8">
        <v>117.27</v>
      </c>
      <c r="J19" s="23"/>
      <c r="K19" s="19">
        <f>1/365.25</f>
        <v>2.7378507871321013E-3</v>
      </c>
      <c r="L19" s="19" t="s">
        <v>64</v>
      </c>
      <c r="M19" s="8">
        <f>(C19+D19)/K19</f>
        <v>40210.372500000005</v>
      </c>
      <c r="N19" s="8">
        <f>E19</f>
        <v>13.77</v>
      </c>
      <c r="P19" s="10" t="s">
        <v>43</v>
      </c>
      <c r="Q19" s="11">
        <f>(C19+D19)/Q20</f>
        <v>40210.372500000005</v>
      </c>
      <c r="R19" s="10" t="s">
        <v>44</v>
      </c>
      <c r="S19" s="11">
        <f t="shared" ref="S19" si="4">E19</f>
        <v>13.77</v>
      </c>
      <c r="T19" s="2" t="s">
        <v>23</v>
      </c>
      <c r="U19" s="12" t="s">
        <v>18</v>
      </c>
    </row>
    <row r="20" spans="1:21" x14ac:dyDescent="0.7">
      <c r="A20" s="16" t="s">
        <v>45</v>
      </c>
      <c r="B20" s="17"/>
      <c r="C20" s="17"/>
      <c r="D20" s="17"/>
      <c r="E20" s="17"/>
      <c r="F20" s="17"/>
      <c r="G20" s="17"/>
      <c r="H20" s="17"/>
      <c r="I20" s="17"/>
      <c r="J20" s="25"/>
      <c r="K20" s="18"/>
      <c r="L20" s="18"/>
      <c r="M20" s="18"/>
      <c r="N20" s="18"/>
      <c r="P20" s="10" t="s">
        <v>46</v>
      </c>
      <c r="Q20" s="10">
        <f>1/365.25</f>
        <v>2.7378507871321013E-3</v>
      </c>
      <c r="R20" s="10"/>
      <c r="S20" s="10"/>
      <c r="T20" s="2" t="s">
        <v>47</v>
      </c>
    </row>
    <row r="21" spans="1:21" x14ac:dyDescent="0.7">
      <c r="A21" s="2" t="s">
        <v>48</v>
      </c>
    </row>
    <row r="22" spans="1:21" x14ac:dyDescent="0.7">
      <c r="B22" s="7"/>
      <c r="C22" s="8"/>
      <c r="D22" s="8"/>
      <c r="E22" s="8"/>
      <c r="F22" s="8"/>
      <c r="G22" s="8"/>
      <c r="H22" s="9"/>
      <c r="I22" s="8"/>
    </row>
    <row r="23" spans="1:21" x14ac:dyDescent="0.7">
      <c r="B23" s="7"/>
      <c r="C23" s="8"/>
      <c r="D23" s="8"/>
      <c r="E23" s="8"/>
      <c r="F23" s="8"/>
      <c r="G23" s="8"/>
      <c r="H23" s="8"/>
      <c r="I23" s="8"/>
    </row>
    <row r="24" spans="1:21" ht="15.9" x14ac:dyDescent="0.9">
      <c r="A24" s="3" t="s">
        <v>49</v>
      </c>
    </row>
    <row r="25" spans="1:21" ht="15.9" x14ac:dyDescent="0.9">
      <c r="A25" s="3" t="s">
        <v>2</v>
      </c>
    </row>
    <row r="26" spans="1:21" ht="48.65" thickBot="1" x14ac:dyDescent="0.85">
      <c r="A26" s="4" t="s">
        <v>3</v>
      </c>
      <c r="B26" s="4" t="s">
        <v>4</v>
      </c>
      <c r="C26" s="4" t="s">
        <v>5</v>
      </c>
      <c r="D26" s="4" t="s">
        <v>6</v>
      </c>
      <c r="E26" s="4" t="s">
        <v>7</v>
      </c>
      <c r="F26" s="4" t="s">
        <v>8</v>
      </c>
      <c r="G26" s="4" t="s">
        <v>9</v>
      </c>
      <c r="H26" s="4" t="s">
        <v>10</v>
      </c>
      <c r="I26" s="4" t="s">
        <v>11</v>
      </c>
      <c r="J26" s="21"/>
      <c r="K26" s="4"/>
      <c r="L26" s="4"/>
      <c r="M26" s="4"/>
      <c r="N26" s="4"/>
    </row>
    <row r="27" spans="1:21" ht="12.65" thickTop="1" x14ac:dyDescent="0.7">
      <c r="A27" s="5" t="s">
        <v>12</v>
      </c>
      <c r="B27" s="5"/>
      <c r="C27" s="5"/>
      <c r="D27" s="5"/>
      <c r="E27" s="5"/>
      <c r="F27" s="5"/>
      <c r="G27" s="5"/>
      <c r="H27" s="5"/>
      <c r="I27" s="5"/>
      <c r="J27" s="22"/>
      <c r="K27" s="5"/>
      <c r="L27" s="5"/>
      <c r="M27" s="5"/>
      <c r="N27" s="5"/>
    </row>
    <row r="28" spans="1:21" x14ac:dyDescent="0.7">
      <c r="A28" s="6" t="s">
        <v>24</v>
      </c>
      <c r="B28" s="7">
        <v>0.87</v>
      </c>
      <c r="C28" s="8">
        <v>12.15</v>
      </c>
      <c r="D28" s="8">
        <v>2.54</v>
      </c>
      <c r="E28" s="8">
        <v>23.63</v>
      </c>
      <c r="F28" s="8">
        <v>1.05</v>
      </c>
      <c r="G28" s="8">
        <v>39.369999999999997</v>
      </c>
      <c r="H28" s="9" t="s">
        <v>14</v>
      </c>
      <c r="I28" s="8">
        <v>39.369999999999997</v>
      </c>
      <c r="J28" s="23"/>
      <c r="K28" s="8"/>
      <c r="L28" s="8"/>
      <c r="M28" s="8"/>
      <c r="N28" s="8"/>
    </row>
    <row r="29" spans="1:21" x14ac:dyDescent="0.7">
      <c r="A29" s="6" t="s">
        <v>27</v>
      </c>
      <c r="B29" s="7">
        <v>0.9</v>
      </c>
      <c r="C29" s="8">
        <v>22.1</v>
      </c>
      <c r="D29" s="8">
        <v>17.71</v>
      </c>
      <c r="E29" s="8">
        <v>1.31</v>
      </c>
      <c r="F29" s="8">
        <v>1.52</v>
      </c>
      <c r="G29" s="8">
        <v>42.64</v>
      </c>
      <c r="H29" s="8">
        <v>-6.63</v>
      </c>
      <c r="I29" s="8">
        <v>36.01</v>
      </c>
      <c r="J29" s="23"/>
      <c r="K29" s="8"/>
      <c r="L29" s="8"/>
      <c r="M29" s="8"/>
      <c r="N29" s="8"/>
    </row>
    <row r="30" spans="1:21" x14ac:dyDescent="0.7">
      <c r="A30" s="13" t="s">
        <v>28</v>
      </c>
      <c r="B30" s="14"/>
      <c r="C30" s="15"/>
      <c r="D30" s="15"/>
      <c r="E30" s="15"/>
      <c r="F30" s="15"/>
      <c r="G30" s="15"/>
      <c r="H30" s="15"/>
      <c r="I30" s="15"/>
      <c r="J30" s="24"/>
      <c r="K30" s="15"/>
      <c r="L30" s="15"/>
      <c r="M30" s="15"/>
      <c r="N30" s="15"/>
    </row>
    <row r="31" spans="1:21" x14ac:dyDescent="0.7">
      <c r="A31" s="6" t="s">
        <v>33</v>
      </c>
      <c r="B31" s="7">
        <v>0.28999999999999998</v>
      </c>
      <c r="C31" s="8">
        <v>32.01</v>
      </c>
      <c r="D31" s="8">
        <v>14.58</v>
      </c>
      <c r="E31" s="8">
        <v>0</v>
      </c>
      <c r="F31" s="8">
        <v>3.16</v>
      </c>
      <c r="G31" s="8">
        <v>49.75</v>
      </c>
      <c r="H31" s="8">
        <v>-18</v>
      </c>
      <c r="I31" s="8">
        <v>31.75</v>
      </c>
      <c r="J31" s="23"/>
      <c r="K31" s="8"/>
      <c r="L31" s="8"/>
      <c r="M31" s="8"/>
      <c r="N31" s="8"/>
    </row>
    <row r="32" spans="1:21" x14ac:dyDescent="0.7">
      <c r="A32" s="6" t="s">
        <v>34</v>
      </c>
      <c r="B32" s="7">
        <v>0.42</v>
      </c>
      <c r="C32" s="8">
        <v>27.18</v>
      </c>
      <c r="D32" s="8">
        <v>10.16</v>
      </c>
      <c r="E32" s="8">
        <v>0</v>
      </c>
      <c r="F32" s="8">
        <v>2.66</v>
      </c>
      <c r="G32" s="8">
        <v>40</v>
      </c>
      <c r="H32" s="8">
        <v>-19.8</v>
      </c>
      <c r="I32" s="8">
        <v>20.2</v>
      </c>
      <c r="J32" s="23"/>
      <c r="K32" s="8"/>
      <c r="L32" s="8"/>
      <c r="M32" s="8"/>
      <c r="N32" s="8"/>
    </row>
    <row r="33" spans="1:14" x14ac:dyDescent="0.7">
      <c r="A33" s="6" t="s">
        <v>37</v>
      </c>
      <c r="B33" s="7">
        <v>0.3</v>
      </c>
      <c r="C33" s="8">
        <v>25.41</v>
      </c>
      <c r="D33" s="8">
        <v>8.48</v>
      </c>
      <c r="E33" s="8">
        <v>0</v>
      </c>
      <c r="F33" s="8">
        <v>3.06</v>
      </c>
      <c r="G33" s="8">
        <v>36.950000000000003</v>
      </c>
      <c r="H33" s="8">
        <v>-18</v>
      </c>
      <c r="I33" s="8">
        <v>18.95</v>
      </c>
      <c r="J33" s="23"/>
      <c r="K33" s="8"/>
      <c r="L33" s="8"/>
      <c r="M33" s="8"/>
      <c r="N33" s="8"/>
    </row>
    <row r="34" spans="1:14" ht="12.75" customHeight="1" x14ac:dyDescent="0.7">
      <c r="A34" s="5" t="s">
        <v>40</v>
      </c>
      <c r="B34" s="14"/>
      <c r="C34" s="15"/>
      <c r="D34" s="15"/>
      <c r="E34" s="15"/>
      <c r="F34" s="15"/>
      <c r="G34" s="15"/>
      <c r="H34" s="15"/>
      <c r="I34" s="15"/>
      <c r="J34" s="24"/>
      <c r="K34" s="15"/>
      <c r="L34" s="15"/>
      <c r="M34" s="15"/>
      <c r="N34" s="15"/>
    </row>
    <row r="35" spans="1:14" x14ac:dyDescent="0.7">
      <c r="A35" s="6" t="s">
        <v>41</v>
      </c>
      <c r="B35" s="7">
        <v>9.9999999999999978E-2</v>
      </c>
      <c r="C35" s="8">
        <v>56.44</v>
      </c>
      <c r="D35" s="8">
        <v>15.72</v>
      </c>
      <c r="E35" s="8">
        <v>39.74</v>
      </c>
      <c r="F35" s="8">
        <v>10.46</v>
      </c>
      <c r="G35" s="8">
        <v>122.36</v>
      </c>
      <c r="H35" s="9" t="s">
        <v>14</v>
      </c>
      <c r="I35" s="8">
        <v>122.36</v>
      </c>
      <c r="J35" s="23"/>
      <c r="K35" s="8"/>
      <c r="L35" s="8"/>
      <c r="M35" s="8"/>
      <c r="N35" s="8"/>
    </row>
    <row r="36" spans="1:14" ht="12.65" thickBot="1" x14ac:dyDescent="0.85">
      <c r="A36" s="6" t="s">
        <v>42</v>
      </c>
      <c r="B36" s="7">
        <v>0.1</v>
      </c>
      <c r="C36" s="8">
        <v>58.57</v>
      </c>
      <c r="D36" s="8">
        <v>52.24</v>
      </c>
      <c r="E36" s="8">
        <v>24.85</v>
      </c>
      <c r="F36" s="8">
        <v>11.28</v>
      </c>
      <c r="G36" s="8">
        <v>146.94999999999999</v>
      </c>
      <c r="H36" s="8">
        <v>-17.57</v>
      </c>
      <c r="I36" s="8">
        <v>129.37</v>
      </c>
      <c r="J36" s="23"/>
      <c r="K36" s="8"/>
      <c r="L36" s="8"/>
      <c r="M36" s="8"/>
      <c r="N36" s="8"/>
    </row>
    <row r="37" spans="1:14" x14ac:dyDescent="0.7">
      <c r="A37" s="16" t="s">
        <v>45</v>
      </c>
      <c r="B37" s="17"/>
      <c r="C37" s="17"/>
      <c r="D37" s="17"/>
      <c r="E37" s="17"/>
      <c r="F37" s="17"/>
      <c r="G37" s="17"/>
      <c r="H37" s="17"/>
      <c r="I37" s="17"/>
      <c r="J37" s="25"/>
      <c r="K37" s="18"/>
      <c r="L37" s="18"/>
      <c r="M37" s="18"/>
      <c r="N37" s="18"/>
    </row>
    <row r="38" spans="1:14" x14ac:dyDescent="0.7">
      <c r="A38" s="2" t="s">
        <v>48</v>
      </c>
    </row>
  </sheetData>
  <hyperlinks>
    <hyperlink ref="A1" r:id="rId1" xr:uid="{8A3D0C6F-843A-447C-BF43-03A901F8108F}"/>
  </hyperlinks>
  <pageMargins left="0.7" right="0.7" top="0.75" bottom="0.75" header="0.3" footer="0.3"/>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49CB2-8D24-4DFA-B4F4-6D4DAAE784DA}">
  <dimension ref="A1:J41"/>
  <sheetViews>
    <sheetView workbookViewId="0">
      <selection activeCell="A2" sqref="A2"/>
    </sheetView>
  </sheetViews>
  <sheetFormatPr defaultRowHeight="14.6" x14ac:dyDescent="0.85"/>
  <cols>
    <col min="1" max="1" width="42.07421875" customWidth="1"/>
    <col min="2" max="4" width="11.53515625" customWidth="1"/>
    <col min="5" max="5" width="13.19140625" customWidth="1"/>
    <col min="6" max="10" width="11.53515625" customWidth="1"/>
  </cols>
  <sheetData>
    <row r="1" spans="1:10" x14ac:dyDescent="0.85">
      <c r="A1" s="1" t="s">
        <v>297</v>
      </c>
    </row>
    <row r="2" spans="1:10" x14ac:dyDescent="0.85">
      <c r="A2" t="s">
        <v>296</v>
      </c>
    </row>
    <row r="3" spans="1:10" x14ac:dyDescent="0.85">
      <c r="A3" t="s">
        <v>258</v>
      </c>
    </row>
    <row r="5" spans="1:10" s="36" customFormat="1" ht="58.15" customHeight="1" x14ac:dyDescent="0.85">
      <c r="A5" s="36" t="s">
        <v>161</v>
      </c>
      <c r="B5" s="36" t="s">
        <v>300</v>
      </c>
      <c r="C5" s="36" t="s">
        <v>259</v>
      </c>
      <c r="D5" s="36" t="s">
        <v>260</v>
      </c>
      <c r="E5" s="36" t="s">
        <v>301</v>
      </c>
      <c r="F5" s="36" t="s">
        <v>302</v>
      </c>
      <c r="G5" s="36" t="s">
        <v>295</v>
      </c>
      <c r="H5" s="36" t="s">
        <v>303</v>
      </c>
      <c r="I5" s="36" t="s">
        <v>278</v>
      </c>
      <c r="J5" s="36" t="s">
        <v>279</v>
      </c>
    </row>
    <row r="6" spans="1:10" x14ac:dyDescent="0.85">
      <c r="A6" t="s">
        <v>261</v>
      </c>
      <c r="B6">
        <v>2026</v>
      </c>
      <c r="C6">
        <v>650</v>
      </c>
      <c r="D6">
        <v>4</v>
      </c>
      <c r="E6">
        <v>4507</v>
      </c>
      <c r="F6">
        <v>1</v>
      </c>
      <c r="G6">
        <v>4507</v>
      </c>
      <c r="H6">
        <v>5.0599999999999996</v>
      </c>
      <c r="I6">
        <v>45.68</v>
      </c>
      <c r="J6">
        <v>8638</v>
      </c>
    </row>
    <row r="7" spans="1:10" x14ac:dyDescent="0.85">
      <c r="A7" t="s">
        <v>262</v>
      </c>
      <c r="B7">
        <v>2026</v>
      </c>
      <c r="C7">
        <v>650</v>
      </c>
      <c r="D7">
        <v>4</v>
      </c>
      <c r="E7">
        <v>5577</v>
      </c>
      <c r="F7">
        <v>1.01</v>
      </c>
      <c r="G7">
        <v>5633</v>
      </c>
      <c r="H7">
        <v>7.97</v>
      </c>
      <c r="I7">
        <v>61.11</v>
      </c>
      <c r="J7">
        <v>9751</v>
      </c>
    </row>
    <row r="8" spans="1:10" x14ac:dyDescent="0.85">
      <c r="A8" t="s">
        <v>263</v>
      </c>
      <c r="B8">
        <v>2026</v>
      </c>
      <c r="C8">
        <v>650</v>
      </c>
      <c r="D8">
        <v>4</v>
      </c>
      <c r="E8">
        <v>7176</v>
      </c>
      <c r="F8">
        <v>1.02</v>
      </c>
      <c r="G8">
        <v>7319</v>
      </c>
      <c r="H8">
        <v>12.35</v>
      </c>
      <c r="I8">
        <v>67.02</v>
      </c>
      <c r="J8">
        <v>12507</v>
      </c>
    </row>
    <row r="9" spans="1:10" x14ac:dyDescent="0.85">
      <c r="A9" t="s">
        <v>264</v>
      </c>
      <c r="B9">
        <v>2025</v>
      </c>
      <c r="C9">
        <v>418</v>
      </c>
      <c r="D9">
        <v>3</v>
      </c>
      <c r="E9">
        <v>1330</v>
      </c>
      <c r="F9">
        <v>1</v>
      </c>
      <c r="G9">
        <v>1330</v>
      </c>
      <c r="H9">
        <v>2.87</v>
      </c>
      <c r="I9">
        <v>15.87</v>
      </c>
      <c r="J9">
        <v>6431</v>
      </c>
    </row>
    <row r="10" spans="1:10" x14ac:dyDescent="0.85">
      <c r="A10" t="s">
        <v>265</v>
      </c>
      <c r="B10">
        <v>2025</v>
      </c>
      <c r="C10">
        <v>1083</v>
      </c>
      <c r="D10">
        <v>3</v>
      </c>
      <c r="E10">
        <v>1176</v>
      </c>
      <c r="F10">
        <v>1</v>
      </c>
      <c r="G10">
        <v>1176</v>
      </c>
      <c r="H10">
        <v>2.1</v>
      </c>
      <c r="I10">
        <v>13.73</v>
      </c>
      <c r="J10">
        <v>6370</v>
      </c>
    </row>
    <row r="11" spans="1:10" x14ac:dyDescent="0.85">
      <c r="A11" t="s">
        <v>266</v>
      </c>
      <c r="B11">
        <v>2025</v>
      </c>
      <c r="C11">
        <v>377</v>
      </c>
      <c r="D11">
        <v>3</v>
      </c>
      <c r="E11">
        <v>3019</v>
      </c>
      <c r="F11">
        <v>1.04</v>
      </c>
      <c r="G11">
        <v>3140</v>
      </c>
      <c r="H11">
        <v>6.57</v>
      </c>
      <c r="I11">
        <v>31.06</v>
      </c>
      <c r="J11">
        <v>7124</v>
      </c>
    </row>
    <row r="12" spans="1:10" x14ac:dyDescent="0.85">
      <c r="A12" t="s">
        <v>267</v>
      </c>
      <c r="B12">
        <v>2024</v>
      </c>
      <c r="C12">
        <v>21</v>
      </c>
      <c r="D12">
        <v>2</v>
      </c>
      <c r="E12">
        <v>2240</v>
      </c>
      <c r="F12">
        <v>1</v>
      </c>
      <c r="G12">
        <v>2240</v>
      </c>
      <c r="H12">
        <v>6.4</v>
      </c>
      <c r="I12">
        <v>39.57</v>
      </c>
      <c r="J12">
        <v>8295</v>
      </c>
    </row>
    <row r="13" spans="1:10" x14ac:dyDescent="0.85">
      <c r="A13" t="s">
        <v>268</v>
      </c>
      <c r="B13">
        <v>2024</v>
      </c>
      <c r="C13">
        <v>105</v>
      </c>
      <c r="D13">
        <v>2</v>
      </c>
      <c r="E13">
        <v>1428</v>
      </c>
      <c r="F13">
        <v>1</v>
      </c>
      <c r="G13">
        <v>1428</v>
      </c>
      <c r="H13">
        <v>5.29</v>
      </c>
      <c r="I13">
        <v>18.350000000000001</v>
      </c>
      <c r="J13">
        <v>9124</v>
      </c>
    </row>
    <row r="14" spans="1:10" x14ac:dyDescent="0.85">
      <c r="A14" t="s">
        <v>269</v>
      </c>
      <c r="B14">
        <v>2024</v>
      </c>
      <c r="C14">
        <v>237</v>
      </c>
      <c r="D14">
        <v>2</v>
      </c>
      <c r="E14">
        <v>867</v>
      </c>
      <c r="F14">
        <v>1</v>
      </c>
      <c r="G14">
        <v>867</v>
      </c>
      <c r="H14">
        <v>5.0599999999999996</v>
      </c>
      <c r="I14">
        <v>7.88</v>
      </c>
      <c r="J14">
        <v>9905</v>
      </c>
    </row>
    <row r="15" spans="1:10" x14ac:dyDescent="0.85">
      <c r="A15" t="s">
        <v>270</v>
      </c>
      <c r="B15">
        <v>2025</v>
      </c>
      <c r="C15">
        <v>10</v>
      </c>
      <c r="D15">
        <v>3</v>
      </c>
      <c r="E15">
        <v>6771</v>
      </c>
      <c r="F15">
        <v>1.08</v>
      </c>
      <c r="G15">
        <v>7291</v>
      </c>
      <c r="H15">
        <v>0.66</v>
      </c>
      <c r="I15">
        <v>34.65</v>
      </c>
      <c r="J15">
        <v>6469</v>
      </c>
    </row>
    <row r="16" spans="1:10" x14ac:dyDescent="0.85">
      <c r="A16" t="s">
        <v>271</v>
      </c>
      <c r="B16">
        <v>2028</v>
      </c>
      <c r="C16">
        <v>2156</v>
      </c>
      <c r="D16">
        <v>6</v>
      </c>
      <c r="E16">
        <v>7406</v>
      </c>
      <c r="F16">
        <v>1.05</v>
      </c>
      <c r="G16">
        <v>7777</v>
      </c>
      <c r="H16">
        <v>2.67</v>
      </c>
      <c r="I16">
        <v>136.91</v>
      </c>
      <c r="J16">
        <v>10447</v>
      </c>
    </row>
    <row r="17" spans="1:10" x14ac:dyDescent="0.85">
      <c r="A17" t="s">
        <v>272</v>
      </c>
      <c r="B17">
        <v>2028</v>
      </c>
      <c r="C17">
        <v>600</v>
      </c>
      <c r="D17">
        <v>6</v>
      </c>
      <c r="E17">
        <v>7590</v>
      </c>
      <c r="F17">
        <v>1.1000000000000001</v>
      </c>
      <c r="G17">
        <v>8349</v>
      </c>
      <c r="H17">
        <v>3.38</v>
      </c>
      <c r="I17">
        <v>106.92</v>
      </c>
      <c r="J17">
        <v>10447</v>
      </c>
    </row>
    <row r="18" spans="1:10" x14ac:dyDescent="0.85">
      <c r="A18" t="s">
        <v>273</v>
      </c>
      <c r="B18">
        <v>2025</v>
      </c>
      <c r="C18">
        <v>2</v>
      </c>
      <c r="D18">
        <v>3</v>
      </c>
      <c r="E18">
        <v>1915</v>
      </c>
      <c r="F18">
        <v>1</v>
      </c>
      <c r="G18">
        <v>1915</v>
      </c>
      <c r="H18">
        <v>9.69</v>
      </c>
      <c r="I18">
        <v>21.79</v>
      </c>
      <c r="J18">
        <v>8912</v>
      </c>
    </row>
    <row r="19" spans="1:10" x14ac:dyDescent="0.85">
      <c r="A19" t="s">
        <v>274</v>
      </c>
      <c r="B19">
        <v>2024</v>
      </c>
      <c r="C19">
        <v>1</v>
      </c>
      <c r="D19">
        <v>2</v>
      </c>
      <c r="E19">
        <v>2300</v>
      </c>
      <c r="F19">
        <v>1</v>
      </c>
      <c r="G19">
        <v>2300</v>
      </c>
      <c r="H19">
        <v>9.69</v>
      </c>
      <c r="I19">
        <v>21.79</v>
      </c>
      <c r="J19">
        <v>9894</v>
      </c>
    </row>
    <row r="20" spans="1:10" x14ac:dyDescent="0.85">
      <c r="A20" t="s">
        <v>42</v>
      </c>
      <c r="B20">
        <v>2023</v>
      </c>
      <c r="C20">
        <v>50</v>
      </c>
      <c r="D20">
        <v>1</v>
      </c>
      <c r="E20">
        <v>1270</v>
      </c>
      <c r="F20">
        <v>1</v>
      </c>
      <c r="G20">
        <v>1270</v>
      </c>
      <c r="H20">
        <v>0</v>
      </c>
      <c r="I20">
        <v>45.76</v>
      </c>
      <c r="J20" t="s">
        <v>14</v>
      </c>
    </row>
    <row r="21" spans="1:10" x14ac:dyDescent="0.85">
      <c r="A21" t="s">
        <v>19</v>
      </c>
      <c r="B21">
        <v>2026</v>
      </c>
      <c r="C21">
        <v>50</v>
      </c>
      <c r="D21">
        <v>4</v>
      </c>
      <c r="E21">
        <v>4996</v>
      </c>
      <c r="F21">
        <v>1</v>
      </c>
      <c r="G21">
        <v>4998</v>
      </c>
      <c r="H21">
        <v>5.44</v>
      </c>
      <c r="I21">
        <v>141.5</v>
      </c>
      <c r="J21">
        <v>13500</v>
      </c>
    </row>
    <row r="22" spans="1:10" x14ac:dyDescent="0.85">
      <c r="A22" t="s">
        <v>289</v>
      </c>
      <c r="B22">
        <v>2026</v>
      </c>
      <c r="C22">
        <v>50</v>
      </c>
      <c r="D22">
        <v>4</v>
      </c>
      <c r="E22">
        <v>3403</v>
      </c>
      <c r="F22">
        <v>1</v>
      </c>
      <c r="G22">
        <v>3403</v>
      </c>
      <c r="H22">
        <v>1.31</v>
      </c>
      <c r="I22">
        <v>153.97999999999999</v>
      </c>
      <c r="J22">
        <v>8881</v>
      </c>
    </row>
    <row r="23" spans="1:10" x14ac:dyDescent="0.85">
      <c r="A23" t="s">
        <v>294</v>
      </c>
      <c r="B23">
        <v>2026</v>
      </c>
      <c r="C23">
        <v>100</v>
      </c>
      <c r="D23">
        <v>4</v>
      </c>
      <c r="E23">
        <v>3421</v>
      </c>
      <c r="F23">
        <v>1</v>
      </c>
      <c r="G23">
        <v>3421</v>
      </c>
      <c r="H23">
        <v>1.57</v>
      </c>
      <c r="I23">
        <v>47.06</v>
      </c>
      <c r="J23" t="s">
        <v>14</v>
      </c>
    </row>
    <row r="24" spans="1:10" x14ac:dyDescent="0.85">
      <c r="A24" t="s">
        <v>304</v>
      </c>
      <c r="B24">
        <v>2025</v>
      </c>
      <c r="C24">
        <v>200</v>
      </c>
      <c r="D24">
        <v>3</v>
      </c>
      <c r="E24">
        <v>2098</v>
      </c>
      <c r="F24">
        <v>1</v>
      </c>
      <c r="G24">
        <v>2098</v>
      </c>
      <c r="H24">
        <v>0</v>
      </c>
      <c r="I24">
        <v>29.64</v>
      </c>
      <c r="J24" t="s">
        <v>14</v>
      </c>
    </row>
    <row r="25" spans="1:10" x14ac:dyDescent="0.85">
      <c r="A25" t="s">
        <v>293</v>
      </c>
      <c r="B25">
        <v>2026</v>
      </c>
      <c r="C25">
        <v>400</v>
      </c>
      <c r="D25">
        <v>4</v>
      </c>
      <c r="E25">
        <v>5338</v>
      </c>
      <c r="F25">
        <v>1.25</v>
      </c>
      <c r="G25">
        <v>6672</v>
      </c>
      <c r="H25">
        <v>0</v>
      </c>
      <c r="I25">
        <v>123.81</v>
      </c>
      <c r="J25" t="s">
        <v>14</v>
      </c>
    </row>
    <row r="26" spans="1:10" x14ac:dyDescent="0.85">
      <c r="A26" t="s">
        <v>292</v>
      </c>
      <c r="B26">
        <v>2025</v>
      </c>
      <c r="C26">
        <v>115</v>
      </c>
      <c r="D26">
        <v>3</v>
      </c>
      <c r="E26">
        <v>8732</v>
      </c>
      <c r="F26">
        <v>1</v>
      </c>
      <c r="G26">
        <v>8732</v>
      </c>
      <c r="H26">
        <v>0</v>
      </c>
      <c r="I26">
        <v>96.1</v>
      </c>
      <c r="J26" t="s">
        <v>14</v>
      </c>
    </row>
    <row r="27" spans="1:10" x14ac:dyDescent="0.85">
      <c r="A27" t="s">
        <v>290</v>
      </c>
      <c r="B27">
        <v>2024</v>
      </c>
      <c r="C27">
        <v>150</v>
      </c>
      <c r="D27">
        <v>2</v>
      </c>
      <c r="E27">
        <v>1448</v>
      </c>
      <c r="F27">
        <v>1</v>
      </c>
      <c r="G27">
        <v>1448</v>
      </c>
      <c r="H27">
        <v>0</v>
      </c>
      <c r="I27">
        <v>17.16</v>
      </c>
      <c r="J27" t="s">
        <v>14</v>
      </c>
    </row>
    <row r="28" spans="1:10" x14ac:dyDescent="0.85">
      <c r="A28" t="s">
        <v>291</v>
      </c>
      <c r="B28">
        <v>2024</v>
      </c>
      <c r="C28">
        <v>150</v>
      </c>
      <c r="D28">
        <v>2</v>
      </c>
      <c r="E28">
        <v>1808</v>
      </c>
      <c r="F28">
        <v>1</v>
      </c>
      <c r="G28">
        <v>1808</v>
      </c>
      <c r="H28">
        <v>0</v>
      </c>
      <c r="I28">
        <v>32.42</v>
      </c>
      <c r="J28" t="s">
        <v>14</v>
      </c>
    </row>
    <row r="30" spans="1:10" ht="55.15" customHeight="1" x14ac:dyDescent="0.85">
      <c r="A30" s="46" t="s">
        <v>275</v>
      </c>
      <c r="B30" s="46"/>
      <c r="C30" s="46"/>
      <c r="D30" s="46"/>
      <c r="E30" s="46"/>
      <c r="F30" s="46"/>
      <c r="G30" s="46"/>
    </row>
    <row r="31" spans="1:10" x14ac:dyDescent="0.85">
      <c r="A31" s="46" t="s">
        <v>276</v>
      </c>
      <c r="B31" s="46"/>
      <c r="C31" s="46"/>
      <c r="D31" s="46"/>
      <c r="E31" s="46"/>
      <c r="F31" s="46"/>
      <c r="G31" s="46"/>
    </row>
    <row r="32" spans="1:10" x14ac:dyDescent="0.85">
      <c r="A32" s="46" t="s">
        <v>277</v>
      </c>
      <c r="B32" s="46"/>
      <c r="C32" s="46"/>
      <c r="D32" s="46"/>
      <c r="E32" s="46"/>
      <c r="F32" s="46"/>
      <c r="G32" s="46"/>
    </row>
    <row r="33" spans="1:7" x14ac:dyDescent="0.85">
      <c r="A33" s="46" t="s">
        <v>280</v>
      </c>
      <c r="B33" s="46"/>
      <c r="C33" s="46"/>
      <c r="D33" s="46"/>
      <c r="E33" s="46"/>
      <c r="F33" s="46"/>
      <c r="G33" s="46"/>
    </row>
    <row r="34" spans="1:7" ht="34.299999999999997" customHeight="1" x14ac:dyDescent="0.85">
      <c r="A34" s="46" t="s">
        <v>281</v>
      </c>
      <c r="B34" s="46"/>
      <c r="C34" s="46"/>
      <c r="D34" s="46"/>
      <c r="E34" s="46"/>
      <c r="F34" s="46"/>
      <c r="G34" s="46"/>
    </row>
    <row r="35" spans="1:7" ht="29.65" customHeight="1" x14ac:dyDescent="0.85">
      <c r="A35" s="46" t="s">
        <v>282</v>
      </c>
      <c r="B35" s="46"/>
      <c r="C35" s="46"/>
      <c r="D35" s="46"/>
      <c r="E35" s="46"/>
      <c r="F35" s="46"/>
      <c r="G35" s="46"/>
    </row>
    <row r="36" spans="1:7" ht="25.95" customHeight="1" x14ac:dyDescent="0.85">
      <c r="A36" s="46" t="s">
        <v>283</v>
      </c>
      <c r="B36" s="46"/>
      <c r="C36" s="46"/>
      <c r="D36" s="46"/>
      <c r="E36" s="46"/>
      <c r="F36" s="46"/>
      <c r="G36" s="46"/>
    </row>
    <row r="37" spans="1:7" ht="31.15" customHeight="1" x14ac:dyDescent="0.85">
      <c r="A37" s="46" t="s">
        <v>284</v>
      </c>
      <c r="B37" s="46"/>
      <c r="C37" s="46"/>
      <c r="D37" s="46"/>
      <c r="E37" s="46"/>
      <c r="F37" s="46"/>
      <c r="G37" s="46"/>
    </row>
    <row r="38" spans="1:7" x14ac:dyDescent="0.85">
      <c r="A38" s="46" t="s">
        <v>285</v>
      </c>
      <c r="B38" s="46"/>
      <c r="C38" s="46"/>
      <c r="D38" s="46"/>
      <c r="E38" s="46"/>
      <c r="F38" s="46"/>
      <c r="G38" s="46"/>
    </row>
    <row r="39" spans="1:7" x14ac:dyDescent="0.85">
      <c r="A39" s="46" t="s">
        <v>286</v>
      </c>
      <c r="B39" s="46"/>
      <c r="C39" s="46"/>
      <c r="D39" s="46"/>
      <c r="E39" s="46"/>
      <c r="F39" s="46"/>
      <c r="G39" s="46"/>
    </row>
    <row r="40" spans="1:7" ht="44.8" customHeight="1" x14ac:dyDescent="0.85">
      <c r="A40" s="46" t="s">
        <v>287</v>
      </c>
      <c r="B40" s="46"/>
      <c r="C40" s="46"/>
      <c r="D40" s="46"/>
      <c r="E40" s="46"/>
      <c r="F40" s="46"/>
      <c r="G40" s="46"/>
    </row>
    <row r="41" spans="1:7" x14ac:dyDescent="0.85">
      <c r="A41" s="46" t="s">
        <v>288</v>
      </c>
      <c r="B41" s="46"/>
      <c r="C41" s="46"/>
      <c r="D41" s="46"/>
      <c r="E41" s="46"/>
      <c r="F41" s="46"/>
      <c r="G41" s="46"/>
    </row>
  </sheetData>
  <mergeCells count="12">
    <mergeCell ref="A41:G41"/>
    <mergeCell ref="A30:G30"/>
    <mergeCell ref="A31:G31"/>
    <mergeCell ref="A32:G32"/>
    <mergeCell ref="A33:G33"/>
    <mergeCell ref="A34:G34"/>
    <mergeCell ref="A35:G35"/>
    <mergeCell ref="A36:G36"/>
    <mergeCell ref="A37:G37"/>
    <mergeCell ref="A38:G38"/>
    <mergeCell ref="A39:G39"/>
    <mergeCell ref="A40:G40"/>
  </mergeCells>
  <hyperlinks>
    <hyperlink ref="A1" r:id="rId1" xr:uid="{DF704AE4-8814-419F-8A03-4A039F21AF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F8395-7122-4B07-BFCE-A03D6746582F}">
  <dimension ref="A1:M28"/>
  <sheetViews>
    <sheetView topLeftCell="D1" workbookViewId="0">
      <selection activeCell="A21" sqref="A21:XFD21"/>
    </sheetView>
  </sheetViews>
  <sheetFormatPr defaultRowHeight="14.6" x14ac:dyDescent="0.85"/>
  <cols>
    <col min="2" max="2" width="36.4609375" customWidth="1"/>
    <col min="3" max="3" width="20.84375" customWidth="1"/>
  </cols>
  <sheetData>
    <row r="1" spans="1:13" x14ac:dyDescent="0.85">
      <c r="A1" s="1" t="s">
        <v>169</v>
      </c>
    </row>
    <row r="2" spans="1:13" x14ac:dyDescent="0.85">
      <c r="A2" t="s">
        <v>170</v>
      </c>
    </row>
    <row r="3" spans="1:13" ht="72.900000000000006" x14ac:dyDescent="0.85">
      <c r="A3" s="28" t="s">
        <v>171</v>
      </c>
      <c r="B3" s="28" t="s">
        <v>161</v>
      </c>
      <c r="C3" s="28" t="s">
        <v>172</v>
      </c>
      <c r="D3" s="28" t="s">
        <v>173</v>
      </c>
      <c r="E3" s="28" t="s">
        <v>174</v>
      </c>
      <c r="F3" s="28" t="s">
        <v>175</v>
      </c>
      <c r="G3" s="28" t="s">
        <v>176</v>
      </c>
      <c r="H3" s="28" t="s">
        <v>177</v>
      </c>
      <c r="I3" s="28" t="s">
        <v>178</v>
      </c>
      <c r="J3" s="28" t="s">
        <v>179</v>
      </c>
      <c r="K3" s="28" t="s">
        <v>180</v>
      </c>
      <c r="L3" s="28" t="s">
        <v>181</v>
      </c>
      <c r="M3" s="28"/>
    </row>
    <row r="4" spans="1:13" x14ac:dyDescent="0.85">
      <c r="A4">
        <v>1</v>
      </c>
      <c r="B4" t="s">
        <v>182</v>
      </c>
      <c r="C4" t="s">
        <v>183</v>
      </c>
      <c r="D4">
        <v>650</v>
      </c>
      <c r="E4">
        <v>8638</v>
      </c>
      <c r="F4">
        <v>3676</v>
      </c>
      <c r="G4">
        <v>40.58</v>
      </c>
      <c r="H4">
        <v>4.5</v>
      </c>
      <c r="I4">
        <v>0.06</v>
      </c>
      <c r="J4">
        <v>0.09</v>
      </c>
      <c r="K4">
        <v>206</v>
      </c>
      <c r="L4">
        <v>40</v>
      </c>
      <c r="M4">
        <f>A4</f>
        <v>1</v>
      </c>
    </row>
    <row r="5" spans="1:13" x14ac:dyDescent="0.85">
      <c r="A5">
        <v>2</v>
      </c>
      <c r="B5" t="s">
        <v>184</v>
      </c>
      <c r="C5" t="s">
        <v>185</v>
      </c>
      <c r="D5">
        <v>650</v>
      </c>
      <c r="E5">
        <v>9751</v>
      </c>
      <c r="F5">
        <v>4558</v>
      </c>
      <c r="G5">
        <v>54.3</v>
      </c>
      <c r="H5">
        <v>7.08</v>
      </c>
      <c r="I5">
        <v>0.06</v>
      </c>
      <c r="J5">
        <v>0.09</v>
      </c>
      <c r="K5">
        <v>144</v>
      </c>
      <c r="L5">
        <v>40</v>
      </c>
      <c r="M5">
        <f t="shared" ref="M5:M28" si="0">A5</f>
        <v>2</v>
      </c>
    </row>
    <row r="6" spans="1:13" x14ac:dyDescent="0.85">
      <c r="A6">
        <v>3</v>
      </c>
      <c r="B6" t="s">
        <v>186</v>
      </c>
      <c r="C6" t="s">
        <v>187</v>
      </c>
      <c r="D6">
        <v>650</v>
      </c>
      <c r="E6">
        <v>12507</v>
      </c>
      <c r="F6">
        <v>5876</v>
      </c>
      <c r="G6">
        <v>59.54</v>
      </c>
      <c r="H6">
        <v>10.98</v>
      </c>
      <c r="I6">
        <v>0.06</v>
      </c>
      <c r="J6">
        <v>0.09</v>
      </c>
      <c r="K6">
        <v>20.6</v>
      </c>
      <c r="L6">
        <v>40</v>
      </c>
      <c r="M6">
        <f t="shared" si="0"/>
        <v>3</v>
      </c>
    </row>
    <row r="7" spans="1:13" x14ac:dyDescent="0.85">
      <c r="A7">
        <v>4</v>
      </c>
      <c r="B7" t="s">
        <v>188</v>
      </c>
      <c r="C7" t="s">
        <v>189</v>
      </c>
      <c r="D7">
        <v>21</v>
      </c>
      <c r="E7">
        <v>8295</v>
      </c>
      <c r="F7">
        <v>1810</v>
      </c>
      <c r="G7">
        <v>35.159999999999997</v>
      </c>
      <c r="H7">
        <v>5.69</v>
      </c>
      <c r="I7">
        <v>0.02</v>
      </c>
      <c r="J7">
        <v>0</v>
      </c>
      <c r="K7">
        <v>117</v>
      </c>
      <c r="L7">
        <v>30</v>
      </c>
      <c r="M7">
        <f t="shared" si="0"/>
        <v>4</v>
      </c>
    </row>
    <row r="8" spans="1:13" x14ac:dyDescent="0.85">
      <c r="A8">
        <v>5</v>
      </c>
      <c r="B8" t="s">
        <v>190</v>
      </c>
      <c r="C8" t="s">
        <v>191</v>
      </c>
      <c r="D8">
        <v>105</v>
      </c>
      <c r="E8">
        <v>9124</v>
      </c>
      <c r="F8">
        <v>1175</v>
      </c>
      <c r="G8">
        <v>16.3</v>
      </c>
      <c r="H8">
        <v>4.7</v>
      </c>
      <c r="I8">
        <v>0.09</v>
      </c>
      <c r="J8">
        <v>0</v>
      </c>
      <c r="K8">
        <v>117</v>
      </c>
      <c r="L8">
        <v>40</v>
      </c>
      <c r="M8">
        <f t="shared" si="0"/>
        <v>5</v>
      </c>
    </row>
    <row r="9" spans="1:13" x14ac:dyDescent="0.85">
      <c r="A9">
        <v>6</v>
      </c>
      <c r="B9" t="s">
        <v>190</v>
      </c>
      <c r="C9" t="s">
        <v>192</v>
      </c>
      <c r="D9">
        <v>237</v>
      </c>
      <c r="E9">
        <v>9905</v>
      </c>
      <c r="F9">
        <v>713</v>
      </c>
      <c r="G9">
        <v>7</v>
      </c>
      <c r="H9">
        <v>4.5</v>
      </c>
      <c r="I9">
        <v>0.03</v>
      </c>
      <c r="J9">
        <v>0</v>
      </c>
      <c r="K9">
        <v>117</v>
      </c>
      <c r="L9">
        <v>40</v>
      </c>
      <c r="M9">
        <f t="shared" si="0"/>
        <v>6</v>
      </c>
    </row>
    <row r="10" spans="1:13" x14ac:dyDescent="0.85">
      <c r="A10">
        <v>7</v>
      </c>
      <c r="B10" t="s">
        <v>193</v>
      </c>
      <c r="C10" t="s">
        <v>194</v>
      </c>
      <c r="D10">
        <v>1083</v>
      </c>
      <c r="E10">
        <v>6370</v>
      </c>
      <c r="F10">
        <v>958</v>
      </c>
      <c r="G10">
        <v>12.2</v>
      </c>
      <c r="H10">
        <v>1.87</v>
      </c>
      <c r="I10">
        <v>7.4999999999999997E-3</v>
      </c>
      <c r="J10">
        <v>0</v>
      </c>
      <c r="K10">
        <v>117</v>
      </c>
      <c r="L10">
        <v>40</v>
      </c>
      <c r="M10">
        <f t="shared" si="0"/>
        <v>7</v>
      </c>
    </row>
    <row r="11" spans="1:13" x14ac:dyDescent="0.85">
      <c r="A11">
        <v>8</v>
      </c>
      <c r="B11" t="s">
        <v>195</v>
      </c>
      <c r="C11" t="s">
        <v>196</v>
      </c>
      <c r="D11">
        <v>418</v>
      </c>
      <c r="E11">
        <v>6431</v>
      </c>
      <c r="F11">
        <v>1084</v>
      </c>
      <c r="G11">
        <v>14.1</v>
      </c>
      <c r="H11">
        <v>2.5499999999999998</v>
      </c>
      <c r="I11">
        <v>7.4999999999999997E-3</v>
      </c>
      <c r="J11">
        <v>0</v>
      </c>
      <c r="K11">
        <v>117</v>
      </c>
      <c r="L11">
        <v>25</v>
      </c>
      <c r="M11">
        <f t="shared" si="0"/>
        <v>8</v>
      </c>
    </row>
    <row r="12" spans="1:13" x14ac:dyDescent="0.85">
      <c r="A12">
        <v>9</v>
      </c>
      <c r="B12" t="s">
        <v>197</v>
      </c>
      <c r="C12" t="s">
        <v>198</v>
      </c>
      <c r="D12">
        <v>377</v>
      </c>
      <c r="E12">
        <v>7124</v>
      </c>
      <c r="F12">
        <v>2481</v>
      </c>
      <c r="G12">
        <v>27.6</v>
      </c>
      <c r="H12">
        <v>5.84</v>
      </c>
      <c r="I12">
        <v>7.4999999999999997E-3</v>
      </c>
      <c r="J12">
        <v>0</v>
      </c>
      <c r="K12">
        <v>11.7</v>
      </c>
      <c r="L12">
        <v>40</v>
      </c>
      <c r="M12">
        <f t="shared" si="0"/>
        <v>9</v>
      </c>
    </row>
    <row r="13" spans="1:13" x14ac:dyDescent="0.85">
      <c r="A13">
        <v>10</v>
      </c>
      <c r="B13" t="s">
        <v>199</v>
      </c>
      <c r="C13" t="s">
        <v>200</v>
      </c>
      <c r="D13">
        <v>10</v>
      </c>
      <c r="E13">
        <v>6469</v>
      </c>
      <c r="F13">
        <v>6700</v>
      </c>
      <c r="G13">
        <v>30.78</v>
      </c>
      <c r="H13">
        <v>0.59</v>
      </c>
      <c r="I13">
        <v>2.0000000000000001E-4</v>
      </c>
      <c r="J13">
        <v>0</v>
      </c>
      <c r="K13">
        <v>117</v>
      </c>
      <c r="L13">
        <v>20</v>
      </c>
      <c r="M13">
        <f t="shared" si="0"/>
        <v>10</v>
      </c>
    </row>
    <row r="14" spans="1:13" x14ac:dyDescent="0.85">
      <c r="A14">
        <v>11</v>
      </c>
      <c r="B14" t="s">
        <v>201</v>
      </c>
      <c r="C14" t="s">
        <v>202</v>
      </c>
      <c r="D14">
        <v>2156</v>
      </c>
      <c r="E14">
        <v>10608</v>
      </c>
      <c r="F14">
        <v>6041</v>
      </c>
      <c r="G14">
        <v>121.64</v>
      </c>
      <c r="H14">
        <v>2.37</v>
      </c>
      <c r="I14">
        <v>0</v>
      </c>
      <c r="J14">
        <v>0</v>
      </c>
      <c r="K14">
        <v>0</v>
      </c>
      <c r="L14">
        <v>40</v>
      </c>
      <c r="M14">
        <f t="shared" si="0"/>
        <v>11</v>
      </c>
    </row>
    <row r="15" spans="1:13" x14ac:dyDescent="0.85">
      <c r="A15">
        <v>12</v>
      </c>
      <c r="B15" t="s">
        <v>203</v>
      </c>
      <c r="C15" t="s">
        <v>204</v>
      </c>
      <c r="D15">
        <v>600</v>
      </c>
      <c r="E15">
        <v>10046</v>
      </c>
      <c r="F15">
        <v>6191</v>
      </c>
      <c r="G15">
        <v>95</v>
      </c>
      <c r="H15">
        <v>3</v>
      </c>
      <c r="I15">
        <v>0</v>
      </c>
      <c r="J15">
        <v>0</v>
      </c>
      <c r="K15">
        <v>0</v>
      </c>
      <c r="L15">
        <v>40</v>
      </c>
      <c r="M15">
        <f t="shared" si="0"/>
        <v>12</v>
      </c>
    </row>
    <row r="16" spans="1:13" x14ac:dyDescent="0.85">
      <c r="A16">
        <v>13</v>
      </c>
      <c r="B16" t="s">
        <v>205</v>
      </c>
      <c r="C16" t="s">
        <v>206</v>
      </c>
      <c r="D16">
        <v>50</v>
      </c>
      <c r="E16">
        <v>13300</v>
      </c>
      <c r="F16">
        <v>4097</v>
      </c>
      <c r="G16">
        <v>125.72</v>
      </c>
      <c r="H16">
        <v>4.83</v>
      </c>
      <c r="I16">
        <v>0.08</v>
      </c>
      <c r="J16" t="s">
        <v>207</v>
      </c>
      <c r="K16">
        <v>206</v>
      </c>
      <c r="L16">
        <v>40</v>
      </c>
      <c r="M16">
        <f t="shared" si="0"/>
        <v>13</v>
      </c>
    </row>
    <row r="17" spans="1:13" x14ac:dyDescent="0.85">
      <c r="A17">
        <v>14</v>
      </c>
      <c r="B17" t="s">
        <v>208</v>
      </c>
      <c r="C17" t="s">
        <v>209</v>
      </c>
      <c r="D17">
        <v>30</v>
      </c>
      <c r="E17">
        <v>1.4999999999999999E-2</v>
      </c>
      <c r="F17">
        <v>705</v>
      </c>
      <c r="G17">
        <v>25.57</v>
      </c>
      <c r="H17">
        <v>1.9</v>
      </c>
      <c r="I17" t="s">
        <v>210</v>
      </c>
      <c r="J17">
        <v>-0.08</v>
      </c>
      <c r="K17">
        <v>-0.08</v>
      </c>
      <c r="L17">
        <v>20</v>
      </c>
      <c r="M17">
        <f t="shared" si="0"/>
        <v>14</v>
      </c>
    </row>
    <row r="18" spans="1:13" x14ac:dyDescent="0.85">
      <c r="A18">
        <v>15</v>
      </c>
      <c r="B18" t="s">
        <v>27</v>
      </c>
      <c r="C18" t="s">
        <v>211</v>
      </c>
      <c r="D18">
        <v>50</v>
      </c>
      <c r="E18" t="s">
        <v>212</v>
      </c>
      <c r="F18">
        <v>2521</v>
      </c>
      <c r="G18">
        <v>128.54400000000001</v>
      </c>
      <c r="H18">
        <v>1.1599999999999999</v>
      </c>
      <c r="I18">
        <v>0</v>
      </c>
      <c r="J18">
        <v>0</v>
      </c>
      <c r="K18">
        <v>0</v>
      </c>
      <c r="L18">
        <v>40</v>
      </c>
      <c r="M18">
        <f t="shared" si="0"/>
        <v>15</v>
      </c>
    </row>
    <row r="19" spans="1:13" x14ac:dyDescent="0.85">
      <c r="A19">
        <v>16</v>
      </c>
      <c r="B19" t="s">
        <v>213</v>
      </c>
      <c r="C19" t="s">
        <v>214</v>
      </c>
      <c r="D19">
        <v>35.6</v>
      </c>
      <c r="E19">
        <v>8513</v>
      </c>
      <c r="F19">
        <v>1563</v>
      </c>
      <c r="G19">
        <v>20.100000000000001</v>
      </c>
      <c r="H19">
        <v>6.2</v>
      </c>
      <c r="I19">
        <v>0.02</v>
      </c>
      <c r="J19">
        <v>0</v>
      </c>
      <c r="K19">
        <v>117</v>
      </c>
      <c r="L19">
        <v>30</v>
      </c>
      <c r="M19">
        <f t="shared" si="0"/>
        <v>16</v>
      </c>
    </row>
    <row r="20" spans="1:13" x14ac:dyDescent="0.85">
      <c r="A20">
        <v>17</v>
      </c>
      <c r="B20" t="s">
        <v>215</v>
      </c>
      <c r="C20" t="s">
        <v>216</v>
      </c>
      <c r="D20">
        <v>100</v>
      </c>
      <c r="E20" t="s">
        <v>212</v>
      </c>
      <c r="F20">
        <v>5316</v>
      </c>
      <c r="G20">
        <v>29.86</v>
      </c>
      <c r="H20">
        <v>0</v>
      </c>
      <c r="I20">
        <v>0</v>
      </c>
      <c r="J20">
        <v>0</v>
      </c>
      <c r="K20">
        <v>0</v>
      </c>
      <c r="L20">
        <v>50</v>
      </c>
      <c r="M20">
        <f t="shared" si="0"/>
        <v>17</v>
      </c>
    </row>
    <row r="21" spans="1:13" x14ac:dyDescent="0.85">
      <c r="A21">
        <v>18</v>
      </c>
      <c r="B21" t="s">
        <v>217</v>
      </c>
      <c r="C21" t="s">
        <v>218</v>
      </c>
      <c r="D21">
        <v>50</v>
      </c>
      <c r="E21" t="s">
        <v>212</v>
      </c>
      <c r="F21" t="s">
        <v>219</v>
      </c>
      <c r="G21">
        <v>24.8</v>
      </c>
      <c r="H21">
        <v>0</v>
      </c>
      <c r="I21">
        <v>0</v>
      </c>
      <c r="J21">
        <v>0</v>
      </c>
      <c r="K21">
        <v>0</v>
      </c>
      <c r="L21">
        <v>10</v>
      </c>
      <c r="M21">
        <f t="shared" si="0"/>
        <v>18</v>
      </c>
    </row>
    <row r="22" spans="1:13" x14ac:dyDescent="0.85">
      <c r="A22">
        <v>19</v>
      </c>
      <c r="B22" t="s">
        <v>217</v>
      </c>
      <c r="C22" t="s">
        <v>220</v>
      </c>
      <c r="D22">
        <v>50</v>
      </c>
      <c r="E22" t="s">
        <v>212</v>
      </c>
      <c r="F22" t="s">
        <v>221</v>
      </c>
      <c r="G22">
        <v>12.9</v>
      </c>
      <c r="H22">
        <v>0</v>
      </c>
      <c r="I22">
        <v>0</v>
      </c>
      <c r="J22">
        <v>0</v>
      </c>
      <c r="K22">
        <v>0</v>
      </c>
      <c r="L22">
        <v>10</v>
      </c>
      <c r="M22">
        <f t="shared" si="0"/>
        <v>19</v>
      </c>
    </row>
    <row r="23" spans="1:13" x14ac:dyDescent="0.85">
      <c r="A23">
        <v>20</v>
      </c>
      <c r="B23" t="s">
        <v>222</v>
      </c>
      <c r="C23" t="s">
        <v>223</v>
      </c>
      <c r="D23">
        <v>200</v>
      </c>
      <c r="E23" t="s">
        <v>212</v>
      </c>
      <c r="F23">
        <v>1265</v>
      </c>
      <c r="G23">
        <v>26.34</v>
      </c>
      <c r="H23">
        <v>0</v>
      </c>
      <c r="I23">
        <v>0</v>
      </c>
      <c r="J23">
        <v>0</v>
      </c>
      <c r="K23">
        <v>0</v>
      </c>
      <c r="L23">
        <v>25</v>
      </c>
      <c r="M23">
        <f t="shared" si="0"/>
        <v>20</v>
      </c>
    </row>
    <row r="24" spans="1:13" x14ac:dyDescent="0.85">
      <c r="A24">
        <v>21</v>
      </c>
      <c r="B24" t="s">
        <v>224</v>
      </c>
      <c r="C24" t="s">
        <v>225</v>
      </c>
      <c r="D24">
        <v>50</v>
      </c>
      <c r="E24" t="s">
        <v>212</v>
      </c>
      <c r="F24">
        <v>1677</v>
      </c>
      <c r="G24">
        <v>35.14</v>
      </c>
      <c r="H24">
        <v>0</v>
      </c>
      <c r="I24">
        <v>0</v>
      </c>
      <c r="J24">
        <v>0</v>
      </c>
      <c r="K24">
        <v>0</v>
      </c>
      <c r="L24">
        <v>25</v>
      </c>
      <c r="M24">
        <f t="shared" si="0"/>
        <v>21</v>
      </c>
    </row>
    <row r="25" spans="1:13" x14ac:dyDescent="0.85">
      <c r="A25">
        <v>22</v>
      </c>
      <c r="B25" t="s">
        <v>226</v>
      </c>
      <c r="C25" t="s">
        <v>227</v>
      </c>
      <c r="D25">
        <v>400</v>
      </c>
      <c r="E25" t="s">
        <v>212</v>
      </c>
      <c r="F25">
        <v>4375</v>
      </c>
      <c r="G25">
        <v>110</v>
      </c>
      <c r="H25">
        <v>0</v>
      </c>
      <c r="I25">
        <v>0</v>
      </c>
      <c r="J25">
        <v>0</v>
      </c>
      <c r="K25">
        <v>0</v>
      </c>
      <c r="L25">
        <v>25</v>
      </c>
      <c r="M25">
        <f t="shared" si="0"/>
        <v>22</v>
      </c>
    </row>
    <row r="26" spans="1:13" x14ac:dyDescent="0.85">
      <c r="A26">
        <v>23</v>
      </c>
      <c r="B26" t="s">
        <v>228</v>
      </c>
      <c r="C26" t="s">
        <v>229</v>
      </c>
      <c r="D26">
        <v>115</v>
      </c>
      <c r="E26" t="s">
        <v>212</v>
      </c>
      <c r="F26">
        <v>7221</v>
      </c>
      <c r="G26">
        <v>85.4</v>
      </c>
      <c r="H26">
        <v>0</v>
      </c>
      <c r="I26">
        <v>0</v>
      </c>
      <c r="J26">
        <v>0</v>
      </c>
      <c r="K26">
        <v>0</v>
      </c>
      <c r="L26">
        <v>30</v>
      </c>
      <c r="M26">
        <f t="shared" si="0"/>
        <v>23</v>
      </c>
    </row>
    <row r="27" spans="1:13" x14ac:dyDescent="0.85">
      <c r="A27">
        <v>24</v>
      </c>
      <c r="B27" t="s">
        <v>230</v>
      </c>
      <c r="C27" t="s">
        <v>231</v>
      </c>
      <c r="D27">
        <v>150</v>
      </c>
      <c r="E27" t="s">
        <v>212</v>
      </c>
      <c r="F27">
        <v>1313</v>
      </c>
      <c r="G27">
        <v>15.25</v>
      </c>
      <c r="H27">
        <v>0</v>
      </c>
      <c r="I27">
        <v>0</v>
      </c>
      <c r="J27">
        <v>0</v>
      </c>
      <c r="K27">
        <v>0</v>
      </c>
      <c r="L27">
        <v>30</v>
      </c>
      <c r="M27">
        <f t="shared" si="0"/>
        <v>24</v>
      </c>
    </row>
    <row r="28" spans="1:13" x14ac:dyDescent="0.85">
      <c r="A28">
        <v>25</v>
      </c>
      <c r="B28" t="s">
        <v>232</v>
      </c>
      <c r="C28" t="s">
        <v>233</v>
      </c>
      <c r="D28">
        <v>150</v>
      </c>
      <c r="E28" t="s">
        <v>212</v>
      </c>
      <c r="F28">
        <v>1755</v>
      </c>
      <c r="G28">
        <v>31.27</v>
      </c>
      <c r="H28">
        <v>0</v>
      </c>
      <c r="I28">
        <v>0</v>
      </c>
      <c r="J28">
        <v>0</v>
      </c>
      <c r="K28">
        <v>0</v>
      </c>
      <c r="L28">
        <v>30</v>
      </c>
      <c r="M28">
        <f t="shared" si="0"/>
        <v>25</v>
      </c>
    </row>
  </sheetData>
  <hyperlinks>
    <hyperlink ref="A1" r:id="rId1" display="https://www.eia.gov/analysis/studies/powerplants/capitalcost/pdf/capital_cost_AEO2020.pdf" xr:uid="{003AE2CB-A9D9-4A24-B5C8-3D50893D3CD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7FCAE-3453-4519-B755-3DA7AFD4EA69}">
  <dimension ref="A1:AI166"/>
  <sheetViews>
    <sheetView topLeftCell="A5" workbookViewId="0">
      <pane ySplit="583" topLeftCell="A13" activePane="bottomLeft"/>
      <selection pane="bottomLeft" activeCell="A32" sqref="A32"/>
    </sheetView>
  </sheetViews>
  <sheetFormatPr defaultRowHeight="14.6" x14ac:dyDescent="0.85"/>
  <cols>
    <col min="1" max="1" width="29.57421875" customWidth="1"/>
    <col min="2" max="2" width="10.19140625" customWidth="1"/>
    <col min="3" max="3" width="9.61328125" customWidth="1"/>
    <col min="4" max="4" width="11.53515625" customWidth="1"/>
    <col min="5" max="5" width="9.4609375" customWidth="1"/>
    <col min="7" max="7" width="9.73046875" customWidth="1"/>
    <col min="9" max="9" width="10.9609375" customWidth="1"/>
    <col min="10" max="10" width="11.15234375" customWidth="1"/>
    <col min="11" max="11" width="11.07421875" customWidth="1"/>
  </cols>
  <sheetData>
    <row r="1" spans="1:35" x14ac:dyDescent="0.85">
      <c r="A1" t="s">
        <v>78</v>
      </c>
    </row>
    <row r="2" spans="1:35" x14ac:dyDescent="0.85">
      <c r="A2" s="1" t="s">
        <v>79</v>
      </c>
    </row>
    <row r="3" spans="1:35" s="28" customFormat="1" x14ac:dyDescent="0.85">
      <c r="A3" t="s">
        <v>80</v>
      </c>
      <c r="B3"/>
      <c r="C3"/>
      <c r="D3"/>
      <c r="E3"/>
      <c r="F3"/>
      <c r="G3"/>
      <c r="H3"/>
      <c r="I3"/>
      <c r="J3"/>
      <c r="K3"/>
      <c r="L3"/>
      <c r="M3"/>
      <c r="N3"/>
      <c r="O3"/>
      <c r="P3"/>
      <c r="Q3"/>
      <c r="R3"/>
      <c r="S3"/>
      <c r="T3"/>
      <c r="U3"/>
      <c r="V3"/>
      <c r="W3"/>
      <c r="X3"/>
      <c r="Y3"/>
      <c r="Z3"/>
      <c r="AA3"/>
      <c r="AB3"/>
      <c r="AC3"/>
      <c r="AD3"/>
      <c r="AE3"/>
      <c r="AF3"/>
      <c r="AG3"/>
      <c r="AH3"/>
      <c r="AI3"/>
    </row>
    <row r="4" spans="1:35" x14ac:dyDescent="0.85">
      <c r="A4" t="s">
        <v>81</v>
      </c>
    </row>
    <row r="5" spans="1:35" x14ac:dyDescent="0.85">
      <c r="B5" t="s">
        <v>82</v>
      </c>
      <c r="C5" t="s">
        <v>83</v>
      </c>
      <c r="D5" t="s">
        <v>84</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85</v>
      </c>
    </row>
    <row r="6" spans="1:35" x14ac:dyDescent="0.85">
      <c r="A6" t="s">
        <v>53</v>
      </c>
    </row>
    <row r="7" spans="1:35" x14ac:dyDescent="0.85">
      <c r="A7" t="s">
        <v>86</v>
      </c>
      <c r="B7" t="s">
        <v>87</v>
      </c>
      <c r="C7" t="s">
        <v>88</v>
      </c>
      <c r="D7" t="s">
        <v>89</v>
      </c>
      <c r="F7">
        <v>0</v>
      </c>
      <c r="G7" s="29">
        <v>4507.1108400000003</v>
      </c>
      <c r="H7" s="29">
        <v>4167.8403319999998</v>
      </c>
      <c r="I7" s="29">
        <v>3971.1750489999999</v>
      </c>
      <c r="J7" s="29">
        <v>3873.4689939999998</v>
      </c>
      <c r="K7" s="29">
        <v>3824.3706050000001</v>
      </c>
      <c r="L7" s="29">
        <v>3789.1108399999998</v>
      </c>
      <c r="M7" s="29">
        <v>3754.0593260000001</v>
      </c>
      <c r="N7" s="29">
        <v>3717.3901369999999</v>
      </c>
      <c r="O7" s="29">
        <v>3678.4558109999998</v>
      </c>
      <c r="P7" s="29">
        <v>3643.6115719999998</v>
      </c>
      <c r="Q7" s="29">
        <v>3610.6674800000001</v>
      </c>
      <c r="R7" s="29">
        <v>3574.9970699999999</v>
      </c>
      <c r="S7" s="29">
        <v>3538.0178219999998</v>
      </c>
      <c r="T7" s="29">
        <v>3499.1020509999998</v>
      </c>
      <c r="U7" s="29">
        <v>3461.4926759999998</v>
      </c>
      <c r="V7" s="29">
        <v>3424.9487300000001</v>
      </c>
      <c r="W7" s="29">
        <v>3387.3530270000001</v>
      </c>
      <c r="X7" s="29">
        <v>3352.5703119999998</v>
      </c>
      <c r="Y7" s="29">
        <v>3317.0656739999999</v>
      </c>
      <c r="Z7" s="29">
        <v>3278.4672850000002</v>
      </c>
      <c r="AA7" s="29">
        <v>3240.5229490000002</v>
      </c>
      <c r="AB7" s="29">
        <v>3200.4445799999999</v>
      </c>
      <c r="AC7" s="29">
        <v>3159.999268</v>
      </c>
      <c r="AD7" s="29">
        <v>3120.6689449999999</v>
      </c>
      <c r="AE7" s="29">
        <v>3081.9458009999998</v>
      </c>
      <c r="AF7" s="29">
        <v>3042.607422</v>
      </c>
      <c r="AG7" s="29">
        <v>3003.2458499999998</v>
      </c>
      <c r="AH7" s="29">
        <v>2965.991943</v>
      </c>
      <c r="AI7" t="s">
        <v>90</v>
      </c>
    </row>
    <row r="8" spans="1:35" x14ac:dyDescent="0.85">
      <c r="A8" t="s">
        <v>91</v>
      </c>
      <c r="B8" t="s">
        <v>92</v>
      </c>
      <c r="C8" t="s">
        <v>93</v>
      </c>
      <c r="D8" t="s">
        <v>89</v>
      </c>
      <c r="F8">
        <v>0</v>
      </c>
      <c r="G8" s="29">
        <v>5633.1118159999996</v>
      </c>
      <c r="H8" s="29">
        <v>5205.6728519999997</v>
      </c>
      <c r="I8" s="29">
        <v>4956.7460940000001</v>
      </c>
      <c r="J8" s="29">
        <v>4831.5395509999998</v>
      </c>
      <c r="K8" s="29">
        <v>4767.0454099999997</v>
      </c>
      <c r="L8" s="29">
        <v>4719.8295900000003</v>
      </c>
      <c r="M8" s="29">
        <v>4672.8920900000003</v>
      </c>
      <c r="N8" s="29">
        <v>4623.9589839999999</v>
      </c>
      <c r="O8" s="29">
        <v>4572.232422</v>
      </c>
      <c r="P8" s="29">
        <v>4525.611328</v>
      </c>
      <c r="Q8" s="29">
        <v>4481.3671880000002</v>
      </c>
      <c r="R8" s="29">
        <v>4433.7583009999998</v>
      </c>
      <c r="S8" s="29">
        <v>4384.5473629999997</v>
      </c>
      <c r="T8" s="29">
        <v>4332.9628910000001</v>
      </c>
      <c r="U8" s="29">
        <v>4283.0224609999996</v>
      </c>
      <c r="V8" s="29">
        <v>4234.4257809999999</v>
      </c>
      <c r="W8" s="29">
        <v>4184.5556640000004</v>
      </c>
      <c r="X8" s="29">
        <v>4138.1835940000001</v>
      </c>
      <c r="Y8" s="29">
        <v>4090.944336</v>
      </c>
      <c r="Z8" s="29">
        <v>4039.91626</v>
      </c>
      <c r="AA8" s="29">
        <v>3989.7250979999999</v>
      </c>
      <c r="AB8" s="29">
        <v>3936.9389649999998</v>
      </c>
      <c r="AC8" s="29">
        <v>3883.7380370000001</v>
      </c>
      <c r="AD8" s="29">
        <v>3831.9438479999999</v>
      </c>
      <c r="AE8" s="29">
        <v>3780.9301759999998</v>
      </c>
      <c r="AF8" s="29">
        <v>3729.1972660000001</v>
      </c>
      <c r="AG8" s="29">
        <v>3677.4736330000001</v>
      </c>
      <c r="AH8" s="29">
        <v>3628.366943</v>
      </c>
      <c r="AI8" t="s">
        <v>90</v>
      </c>
    </row>
    <row r="9" spans="1:35" x14ac:dyDescent="0.85">
      <c r="A9" t="s">
        <v>94</v>
      </c>
      <c r="B9" t="s">
        <v>95</v>
      </c>
      <c r="C9" t="s">
        <v>96</v>
      </c>
      <c r="D9" t="s">
        <v>89</v>
      </c>
      <c r="F9">
        <v>0</v>
      </c>
      <c r="G9" s="29">
        <v>7319.169922</v>
      </c>
      <c r="H9" s="29">
        <v>6759.345703</v>
      </c>
      <c r="I9" s="29">
        <v>6431.8291019999997</v>
      </c>
      <c r="J9" s="29">
        <v>6265.1171880000002</v>
      </c>
      <c r="K9" s="29">
        <v>6177.236328</v>
      </c>
      <c r="L9" s="29">
        <v>6111.7851559999999</v>
      </c>
      <c r="M9" s="29">
        <v>6046.7153319999998</v>
      </c>
      <c r="N9" s="29">
        <v>5979.0903319999998</v>
      </c>
      <c r="O9" s="29">
        <v>5907.8823240000002</v>
      </c>
      <c r="P9" s="29">
        <v>5843.3002930000002</v>
      </c>
      <c r="Q9" s="29">
        <v>5781.810547</v>
      </c>
      <c r="R9" s="29">
        <v>5716.0014650000003</v>
      </c>
      <c r="S9" s="29">
        <v>5648.158203</v>
      </c>
      <c r="T9" s="29">
        <v>5577.2905270000001</v>
      </c>
      <c r="U9" s="29">
        <v>5508.5751950000003</v>
      </c>
      <c r="V9" s="29">
        <v>5441.6220700000003</v>
      </c>
      <c r="W9" s="29">
        <v>5373.0639650000003</v>
      </c>
      <c r="X9" s="29">
        <v>5309.03125</v>
      </c>
      <c r="Y9" s="29">
        <v>5243.9160160000001</v>
      </c>
      <c r="Z9" s="29">
        <v>5173.9799800000001</v>
      </c>
      <c r="AA9" s="29">
        <v>5105.1567379999997</v>
      </c>
      <c r="AB9" s="29">
        <v>5033.0561520000001</v>
      </c>
      <c r="AC9" s="29">
        <v>4960.4731449999999</v>
      </c>
      <c r="AD9" s="29">
        <v>4889.7348629999997</v>
      </c>
      <c r="AE9" s="29">
        <v>4820.0395509999998</v>
      </c>
      <c r="AF9" s="29">
        <v>4749.4755859999996</v>
      </c>
      <c r="AG9" s="29">
        <v>4678.9721680000002</v>
      </c>
      <c r="AH9" s="29">
        <v>4611.8471680000002</v>
      </c>
      <c r="AI9" t="s">
        <v>90</v>
      </c>
    </row>
    <row r="10" spans="1:35" x14ac:dyDescent="0.85">
      <c r="A10" t="s">
        <v>97</v>
      </c>
      <c r="G10" s="29"/>
      <c r="H10" s="29"/>
      <c r="I10" s="29"/>
      <c r="J10" s="29"/>
      <c r="K10" s="29"/>
      <c r="L10" s="29"/>
      <c r="M10" s="29"/>
      <c r="N10" s="29"/>
      <c r="O10" s="29"/>
      <c r="P10" s="29"/>
      <c r="Q10" s="29"/>
      <c r="R10" s="29"/>
      <c r="S10" s="29"/>
      <c r="T10" s="29"/>
      <c r="U10" s="29"/>
      <c r="V10" s="29"/>
      <c r="W10" s="29"/>
      <c r="X10" s="29"/>
      <c r="Y10" s="29"/>
      <c r="Z10" s="29"/>
      <c r="AA10" s="29"/>
      <c r="AB10" s="29"/>
      <c r="AC10" s="29"/>
      <c r="AD10" s="29"/>
      <c r="AE10" s="29"/>
      <c r="AF10" s="29"/>
      <c r="AG10" s="29"/>
      <c r="AH10" s="29"/>
    </row>
    <row r="11" spans="1:35" x14ac:dyDescent="0.85">
      <c r="A11" t="s">
        <v>98</v>
      </c>
      <c r="B11" t="s">
        <v>99</v>
      </c>
      <c r="C11" t="s">
        <v>100</v>
      </c>
      <c r="D11" t="s">
        <v>89</v>
      </c>
      <c r="F11">
        <v>0</v>
      </c>
      <c r="G11" s="29">
        <v>1329.5051269999999</v>
      </c>
      <c r="H11" s="29">
        <v>1229.2216800000001</v>
      </c>
      <c r="I11" s="29">
        <v>1170.852173</v>
      </c>
      <c r="J11" s="29">
        <v>1141.947876</v>
      </c>
      <c r="K11" s="29">
        <v>1127.5683590000001</v>
      </c>
      <c r="L11" s="29">
        <v>1118.189453</v>
      </c>
      <c r="M11" s="29">
        <v>1106.5349120000001</v>
      </c>
      <c r="N11" s="29">
        <v>1095.8427730000001</v>
      </c>
      <c r="O11" s="29">
        <v>1084.4608149999999</v>
      </c>
      <c r="P11" s="29">
        <v>1076.9102780000001</v>
      </c>
      <c r="Q11" s="29">
        <v>1069.9077150000001</v>
      </c>
      <c r="R11" s="29">
        <v>1062.082275</v>
      </c>
      <c r="S11" s="29">
        <v>1053.849731</v>
      </c>
      <c r="T11" s="29">
        <v>1045.0189210000001</v>
      </c>
      <c r="U11" s="29">
        <v>1036.556274</v>
      </c>
      <c r="V11" s="29">
        <v>1028.391846</v>
      </c>
      <c r="W11" s="29">
        <v>1019.890625</v>
      </c>
      <c r="X11" s="29">
        <v>1012.216003</v>
      </c>
      <c r="Y11" s="29">
        <v>1004.304749</v>
      </c>
      <c r="Z11" s="29">
        <v>995.43414299999995</v>
      </c>
      <c r="AA11" s="29">
        <v>986.737122</v>
      </c>
      <c r="AB11" s="29">
        <v>977.36334199999999</v>
      </c>
      <c r="AC11" s="29">
        <v>967.84765600000003</v>
      </c>
      <c r="AD11" s="29">
        <v>958.64361599999995</v>
      </c>
      <c r="AE11" s="29">
        <v>949.59722899999997</v>
      </c>
      <c r="AF11" s="29">
        <v>940.33166500000004</v>
      </c>
      <c r="AG11" s="29">
        <v>931.02825900000005</v>
      </c>
      <c r="AH11" s="29">
        <v>922.34869400000002</v>
      </c>
      <c r="AI11" t="s">
        <v>90</v>
      </c>
    </row>
    <row r="12" spans="1:35" x14ac:dyDescent="0.85">
      <c r="A12" t="s">
        <v>101</v>
      </c>
      <c r="B12" t="s">
        <v>102</v>
      </c>
      <c r="C12" t="s">
        <v>103</v>
      </c>
      <c r="D12" t="s">
        <v>89</v>
      </c>
      <c r="F12">
        <v>0</v>
      </c>
      <c r="G12" s="29">
        <v>1175.6879879999999</v>
      </c>
      <c r="H12" s="29">
        <v>1087.0069579999999</v>
      </c>
      <c r="I12" s="29">
        <v>1035.3903809999999</v>
      </c>
      <c r="J12" s="29">
        <v>1009.830139</v>
      </c>
      <c r="K12" s="29">
        <v>997.11431900000002</v>
      </c>
      <c r="L12" s="29">
        <v>988.82049600000005</v>
      </c>
      <c r="M12" s="29">
        <v>978.51428199999998</v>
      </c>
      <c r="N12" s="29">
        <v>969.05920400000002</v>
      </c>
      <c r="O12" s="29">
        <v>958.99408000000005</v>
      </c>
      <c r="P12" s="29">
        <v>952.31707800000004</v>
      </c>
      <c r="Q12" s="29">
        <v>946.12469499999997</v>
      </c>
      <c r="R12" s="29">
        <v>939.20459000000005</v>
      </c>
      <c r="S12" s="29">
        <v>931.92456100000004</v>
      </c>
      <c r="T12" s="29">
        <v>924.11541699999998</v>
      </c>
      <c r="U12" s="29">
        <v>916.63189699999998</v>
      </c>
      <c r="V12" s="29">
        <v>909.41204800000003</v>
      </c>
      <c r="W12" s="29">
        <v>901.89434800000004</v>
      </c>
      <c r="X12" s="29">
        <v>895.10754399999996</v>
      </c>
      <c r="Y12" s="29">
        <v>888.11163299999998</v>
      </c>
      <c r="Z12" s="29">
        <v>880.26739499999996</v>
      </c>
      <c r="AA12" s="29">
        <v>872.57653800000003</v>
      </c>
      <c r="AB12" s="29">
        <v>864.28716999999995</v>
      </c>
      <c r="AC12" s="29">
        <v>855.87243699999999</v>
      </c>
      <c r="AD12" s="29">
        <v>847.73327600000005</v>
      </c>
      <c r="AE12" s="29">
        <v>839.733521</v>
      </c>
      <c r="AF12" s="29">
        <v>831.53997800000002</v>
      </c>
      <c r="AG12" s="29">
        <v>823.31292699999995</v>
      </c>
      <c r="AH12" s="29">
        <v>815.63757299999997</v>
      </c>
      <c r="AI12" t="s">
        <v>90</v>
      </c>
    </row>
    <row r="13" spans="1:35" x14ac:dyDescent="0.85">
      <c r="A13" t="s">
        <v>104</v>
      </c>
      <c r="B13" t="s">
        <v>105</v>
      </c>
      <c r="C13" t="s">
        <v>106</v>
      </c>
      <c r="D13" t="s">
        <v>89</v>
      </c>
      <c r="F13">
        <v>0</v>
      </c>
      <c r="G13" s="29">
        <v>3140.0034179999998</v>
      </c>
      <c r="H13" s="29">
        <v>2895.704346</v>
      </c>
      <c r="I13" s="29">
        <v>2751.16626</v>
      </c>
      <c r="J13" s="29">
        <v>2676.0507809999999</v>
      </c>
      <c r="K13" s="29">
        <v>2634.9765619999998</v>
      </c>
      <c r="L13" s="29">
        <v>2604.8173830000001</v>
      </c>
      <c r="M13" s="29">
        <v>2571.5036620000001</v>
      </c>
      <c r="N13" s="29">
        <v>2539.1801759999998</v>
      </c>
      <c r="O13" s="29">
        <v>2505.3303219999998</v>
      </c>
      <c r="P13" s="29">
        <v>2478.0656739999999</v>
      </c>
      <c r="Q13" s="29">
        <v>2452.1120609999998</v>
      </c>
      <c r="R13" s="29">
        <v>2424.3259280000002</v>
      </c>
      <c r="S13" s="29">
        <v>2395.6757809999999</v>
      </c>
      <c r="T13" s="29">
        <v>2365.7416990000002</v>
      </c>
      <c r="U13" s="29">
        <v>2336.7202149999998</v>
      </c>
      <c r="V13" s="29">
        <v>2308.4445799999999</v>
      </c>
      <c r="W13" s="29">
        <v>2279.4877929999998</v>
      </c>
      <c r="X13" s="29">
        <v>2252.4499510000001</v>
      </c>
      <c r="Y13" s="29">
        <v>2224.9516600000002</v>
      </c>
      <c r="Z13" s="29">
        <v>2195.4072270000001</v>
      </c>
      <c r="AA13" s="29">
        <v>2166.3332519999999</v>
      </c>
      <c r="AB13" s="29">
        <v>2135.8679200000001</v>
      </c>
      <c r="AC13" s="29">
        <v>2105.1960450000001</v>
      </c>
      <c r="AD13" s="29">
        <v>2075.3061520000001</v>
      </c>
      <c r="AE13" s="29">
        <v>2045.8572999999999</v>
      </c>
      <c r="AF13" s="29">
        <v>2016.0382079999999</v>
      </c>
      <c r="AG13" s="29">
        <v>1986.2436520000001</v>
      </c>
      <c r="AH13" s="29">
        <v>1957.8817140000001</v>
      </c>
      <c r="AI13" t="s">
        <v>90</v>
      </c>
    </row>
    <row r="14" spans="1:35" x14ac:dyDescent="0.85">
      <c r="A14" t="s">
        <v>107</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row>
    <row r="15" spans="1:35" x14ac:dyDescent="0.85">
      <c r="A15" t="s">
        <v>108</v>
      </c>
      <c r="B15" t="s">
        <v>109</v>
      </c>
      <c r="C15" t="s">
        <v>110</v>
      </c>
      <c r="D15" t="s">
        <v>89</v>
      </c>
      <c r="F15">
        <v>0</v>
      </c>
      <c r="G15" s="29">
        <v>1428.318115</v>
      </c>
      <c r="H15" s="29">
        <v>1316.005981</v>
      </c>
      <c r="I15" s="29">
        <v>1248.9145510000001</v>
      </c>
      <c r="J15" s="29">
        <v>1213.8282469999999</v>
      </c>
      <c r="K15" s="29">
        <v>1194.4997559999999</v>
      </c>
      <c r="L15" s="29">
        <v>1181.5263669999999</v>
      </c>
      <c r="M15" s="29">
        <v>1163.5740969999999</v>
      </c>
      <c r="N15" s="29">
        <v>1148.265259</v>
      </c>
      <c r="O15" s="29">
        <v>1132.238525</v>
      </c>
      <c r="P15" s="29">
        <v>1123.1910399999999</v>
      </c>
      <c r="Q15" s="29">
        <v>1114.7208250000001</v>
      </c>
      <c r="R15" s="29">
        <v>1105.399658</v>
      </c>
      <c r="S15" s="29">
        <v>1095.6625979999999</v>
      </c>
      <c r="T15" s="29">
        <v>1085.3127440000001</v>
      </c>
      <c r="U15" s="29">
        <v>1075.35437</v>
      </c>
      <c r="V15" s="29">
        <v>1065.714111</v>
      </c>
      <c r="W15" s="29">
        <v>1055.7337649999999</v>
      </c>
      <c r="X15" s="29">
        <v>1046.6176760000001</v>
      </c>
      <c r="Y15" s="29">
        <v>1037.264404</v>
      </c>
      <c r="Z15" s="29">
        <v>1026.929932</v>
      </c>
      <c r="AA15" s="29">
        <v>1016.785034</v>
      </c>
      <c r="AB15" s="29">
        <v>1005.9537350000001</v>
      </c>
      <c r="AC15" s="29">
        <v>994.98870799999997</v>
      </c>
      <c r="AD15" s="29">
        <v>984.35644500000001</v>
      </c>
      <c r="AE15" s="29">
        <v>973.89794900000004</v>
      </c>
      <c r="AF15" s="29">
        <v>963.22674600000005</v>
      </c>
      <c r="AG15" s="29">
        <v>952.52923599999997</v>
      </c>
      <c r="AH15" s="29">
        <v>942.48205600000006</v>
      </c>
      <c r="AI15" t="s">
        <v>90</v>
      </c>
    </row>
    <row r="16" spans="1:35" x14ac:dyDescent="0.85">
      <c r="A16" t="s">
        <v>111</v>
      </c>
      <c r="B16" t="s">
        <v>112</v>
      </c>
      <c r="C16" t="s">
        <v>113</v>
      </c>
      <c r="D16" t="s">
        <v>89</v>
      </c>
      <c r="F16">
        <v>0</v>
      </c>
      <c r="G16" s="29">
        <v>866.59613000000002</v>
      </c>
      <c r="H16" s="29">
        <v>798.45367399999998</v>
      </c>
      <c r="I16" s="29">
        <v>757.74761999999998</v>
      </c>
      <c r="J16" s="29">
        <v>736.45983899999999</v>
      </c>
      <c r="K16" s="29">
        <v>724.73278800000003</v>
      </c>
      <c r="L16" s="29">
        <v>716.86151099999995</v>
      </c>
      <c r="M16" s="29">
        <v>705.96942100000001</v>
      </c>
      <c r="N16" s="29">
        <v>696.68109100000004</v>
      </c>
      <c r="O16" s="29">
        <v>686.95727499999998</v>
      </c>
      <c r="P16" s="29">
        <v>681.46801800000003</v>
      </c>
      <c r="Q16" s="29">
        <v>676.32885699999997</v>
      </c>
      <c r="R16" s="29">
        <v>670.67352300000005</v>
      </c>
      <c r="S16" s="29">
        <v>664.76580799999999</v>
      </c>
      <c r="T16" s="29">
        <v>658.48632799999996</v>
      </c>
      <c r="U16" s="29">
        <v>652.44421399999999</v>
      </c>
      <c r="V16" s="29">
        <v>646.59527600000001</v>
      </c>
      <c r="W16" s="29">
        <v>640.53997800000002</v>
      </c>
      <c r="X16" s="29">
        <v>635.00897199999997</v>
      </c>
      <c r="Y16" s="29">
        <v>629.33422900000005</v>
      </c>
      <c r="Z16" s="29">
        <v>623.06402600000001</v>
      </c>
      <c r="AA16" s="29">
        <v>616.90887499999997</v>
      </c>
      <c r="AB16" s="29">
        <v>610.337219</v>
      </c>
      <c r="AC16" s="29">
        <v>603.68444799999997</v>
      </c>
      <c r="AD16" s="29">
        <v>597.23358199999996</v>
      </c>
      <c r="AE16" s="29">
        <v>590.88818400000002</v>
      </c>
      <c r="AF16" s="29">
        <v>584.41369599999996</v>
      </c>
      <c r="AG16" s="29">
        <v>577.92327899999998</v>
      </c>
      <c r="AH16" s="29">
        <v>571.82739300000003</v>
      </c>
      <c r="AI16" t="s">
        <v>90</v>
      </c>
    </row>
    <row r="17" spans="1:35" x14ac:dyDescent="0.85">
      <c r="A17" t="s">
        <v>114</v>
      </c>
      <c r="B17" t="s">
        <v>115</v>
      </c>
      <c r="C17" t="s">
        <v>116</v>
      </c>
      <c r="D17" t="s">
        <v>89</v>
      </c>
      <c r="F17">
        <v>0</v>
      </c>
      <c r="G17" s="29">
        <v>2239.726807</v>
      </c>
      <c r="H17" s="29">
        <v>2077.83374</v>
      </c>
      <c r="I17" s="29">
        <v>1986.255249</v>
      </c>
      <c r="J17" s="29">
        <v>1943.776001</v>
      </c>
      <c r="K17" s="29">
        <v>1925.5289310000001</v>
      </c>
      <c r="L17" s="29">
        <v>1914.1922609999999</v>
      </c>
      <c r="M17" s="29">
        <v>1902.925659</v>
      </c>
      <c r="N17" s="29">
        <v>1890.801025</v>
      </c>
      <c r="O17" s="29">
        <v>1877.4785159999999</v>
      </c>
      <c r="P17" s="29">
        <v>1866.200439</v>
      </c>
      <c r="Q17" s="29">
        <v>1855.8623050000001</v>
      </c>
      <c r="R17" s="29">
        <v>1844.087524</v>
      </c>
      <c r="S17" s="29">
        <v>1831.5936280000001</v>
      </c>
      <c r="T17" s="29">
        <v>1818.0463870000001</v>
      </c>
      <c r="U17" s="29">
        <v>1805.1248780000001</v>
      </c>
      <c r="V17" s="29">
        <v>1792.7094729999999</v>
      </c>
      <c r="W17" s="29">
        <v>1779.693115</v>
      </c>
      <c r="X17" s="29">
        <v>1768.106323</v>
      </c>
      <c r="Y17" s="29">
        <v>1756.0939940000001</v>
      </c>
      <c r="Z17" s="29">
        <v>1742.389893</v>
      </c>
      <c r="AA17" s="29">
        <v>1728.973389</v>
      </c>
      <c r="AB17" s="29">
        <v>1714.35376</v>
      </c>
      <c r="AC17" s="29">
        <v>1699.466187</v>
      </c>
      <c r="AD17" s="29">
        <v>1685.1072999999999</v>
      </c>
      <c r="AE17" s="29">
        <v>1671.007202</v>
      </c>
      <c r="AF17" s="29">
        <v>1656.5029300000001</v>
      </c>
      <c r="AG17" s="29">
        <v>1641.912231</v>
      </c>
      <c r="AH17" s="29">
        <v>1628.403442</v>
      </c>
      <c r="AI17" t="s">
        <v>90</v>
      </c>
    </row>
    <row r="18" spans="1:35" x14ac:dyDescent="0.85">
      <c r="A18" t="s">
        <v>117</v>
      </c>
      <c r="G18" s="29"/>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row>
    <row r="19" spans="1:35" x14ac:dyDescent="0.85">
      <c r="A19" t="s">
        <v>118</v>
      </c>
      <c r="B19" t="s">
        <v>119</v>
      </c>
      <c r="C19" t="s">
        <v>120</v>
      </c>
      <c r="D19" t="s">
        <v>89</v>
      </c>
      <c r="F19">
        <v>0</v>
      </c>
      <c r="G19" s="29">
        <v>7776.5131840000004</v>
      </c>
      <c r="H19" s="29">
        <v>7191.1396480000003</v>
      </c>
      <c r="I19" s="29">
        <v>6735.3354490000002</v>
      </c>
      <c r="J19" s="29">
        <v>6569.4130859999996</v>
      </c>
      <c r="K19" s="29">
        <v>6485.9335940000001</v>
      </c>
      <c r="L19" s="29">
        <v>6425.9267579999996</v>
      </c>
      <c r="M19" s="29">
        <v>6366.2734380000002</v>
      </c>
      <c r="N19" s="29">
        <v>6303.8784180000002</v>
      </c>
      <c r="O19" s="29">
        <v>6237.6430659999996</v>
      </c>
      <c r="P19" s="29">
        <v>6178.3447269999997</v>
      </c>
      <c r="Q19" s="29">
        <v>6122.2700199999999</v>
      </c>
      <c r="R19" s="29">
        <v>6061.5737300000001</v>
      </c>
      <c r="S19" s="29">
        <v>5998.6596680000002</v>
      </c>
      <c r="T19" s="29">
        <v>5932.4633789999998</v>
      </c>
      <c r="U19" s="29">
        <v>5868.4838870000003</v>
      </c>
      <c r="V19" s="29">
        <v>5806.3129879999997</v>
      </c>
      <c r="W19" s="29">
        <v>5742.3598629999997</v>
      </c>
      <c r="X19" s="29">
        <v>5683.1772460000002</v>
      </c>
      <c r="Y19" s="29">
        <v>5622.7724609999996</v>
      </c>
      <c r="Z19" s="29">
        <v>5557.1254879999997</v>
      </c>
      <c r="AA19" s="29">
        <v>5492.5883789999998</v>
      </c>
      <c r="AB19" s="29">
        <v>5424.4365230000003</v>
      </c>
      <c r="AC19" s="29">
        <v>5355.6650390000004</v>
      </c>
      <c r="AD19" s="29">
        <v>5288.7861329999996</v>
      </c>
      <c r="AE19" s="29">
        <v>5222.9379879999997</v>
      </c>
      <c r="AF19" s="29">
        <v>5156.0498049999997</v>
      </c>
      <c r="AG19" s="29">
        <v>5089.1240230000003</v>
      </c>
      <c r="AH19" s="29">
        <v>5025.7729490000002</v>
      </c>
      <c r="AI19" t="s">
        <v>90</v>
      </c>
    </row>
    <row r="20" spans="1:35" x14ac:dyDescent="0.85">
      <c r="A20" t="s">
        <v>121</v>
      </c>
      <c r="B20" t="s">
        <v>122</v>
      </c>
      <c r="C20" t="s">
        <v>123</v>
      </c>
      <c r="D20" t="s">
        <v>89</v>
      </c>
      <c r="F20">
        <v>0</v>
      </c>
      <c r="G20" s="29">
        <v>8348.5820309999999</v>
      </c>
      <c r="H20" s="29">
        <v>7720.1474609999996</v>
      </c>
      <c r="I20" s="29">
        <v>7355.8608400000003</v>
      </c>
      <c r="J20" s="29">
        <v>7174.8784180000002</v>
      </c>
      <c r="K20" s="29">
        <v>7083.9326170000004</v>
      </c>
      <c r="L20" s="29">
        <v>7018.6210940000001</v>
      </c>
      <c r="M20" s="29">
        <v>6953.6948240000002</v>
      </c>
      <c r="N20" s="29">
        <v>6885.7719729999999</v>
      </c>
      <c r="O20" s="29">
        <v>6813.6528319999998</v>
      </c>
      <c r="P20" s="29">
        <v>6749.1103519999997</v>
      </c>
      <c r="Q20" s="29">
        <v>6688.0878910000001</v>
      </c>
      <c r="R20" s="29">
        <v>6622.015625</v>
      </c>
      <c r="S20" s="29">
        <v>6553.5180659999996</v>
      </c>
      <c r="T20" s="29">
        <v>6481.4340819999998</v>
      </c>
      <c r="U20" s="29">
        <v>6411.7690430000002</v>
      </c>
      <c r="V20" s="29">
        <v>6344.078125</v>
      </c>
      <c r="W20" s="29">
        <v>6274.439453</v>
      </c>
      <c r="X20" s="29">
        <v>6210.0107420000004</v>
      </c>
      <c r="Y20" s="29">
        <v>6144.2456050000001</v>
      </c>
      <c r="Z20" s="29">
        <v>6072.7490230000003</v>
      </c>
      <c r="AA20" s="29">
        <v>6002.4643550000001</v>
      </c>
      <c r="AB20" s="29">
        <v>5928.2265619999998</v>
      </c>
      <c r="AC20" s="29">
        <v>5853.3090819999998</v>
      </c>
      <c r="AD20" s="29">
        <v>5780.4565430000002</v>
      </c>
      <c r="AE20" s="29">
        <v>5708.7299800000001</v>
      </c>
      <c r="AF20" s="29">
        <v>5635.8627930000002</v>
      </c>
      <c r="AG20" s="29">
        <v>5562.953125</v>
      </c>
      <c r="AH20" s="29">
        <v>5493.9472660000001</v>
      </c>
      <c r="AI20" t="s">
        <v>90</v>
      </c>
    </row>
    <row r="21" spans="1:35" x14ac:dyDescent="0.85">
      <c r="A21" t="s">
        <v>124</v>
      </c>
      <c r="B21" t="s">
        <v>125</v>
      </c>
      <c r="C21" t="s">
        <v>126</v>
      </c>
      <c r="D21" t="s">
        <v>89</v>
      </c>
      <c r="F21">
        <v>0</v>
      </c>
      <c r="G21" s="29">
        <v>7290.5844729999999</v>
      </c>
      <c r="H21" s="29">
        <v>6544.9780270000001</v>
      </c>
      <c r="I21" s="29">
        <v>6024.6088870000003</v>
      </c>
      <c r="J21" s="29">
        <v>5816.8549800000001</v>
      </c>
      <c r="K21" s="29">
        <v>5683.5825199999999</v>
      </c>
      <c r="L21" s="29">
        <v>5571.4140619999998</v>
      </c>
      <c r="M21" s="29">
        <v>5459.8779299999997</v>
      </c>
      <c r="N21" s="29">
        <v>5346.341797</v>
      </c>
      <c r="O21" s="29">
        <v>5229.9716799999997</v>
      </c>
      <c r="P21" s="29">
        <v>5119.8212890000004</v>
      </c>
      <c r="Q21" s="29">
        <v>5012.6503910000001</v>
      </c>
      <c r="R21" s="29">
        <v>4902.0258789999998</v>
      </c>
      <c r="S21" s="29">
        <v>4790.0151370000003</v>
      </c>
      <c r="T21" s="29">
        <v>4675.8549800000001</v>
      </c>
      <c r="U21" s="29">
        <v>4563.9345700000003</v>
      </c>
      <c r="V21" s="29">
        <v>4453.8798829999996</v>
      </c>
      <c r="W21" s="29">
        <v>4342.9296880000002</v>
      </c>
      <c r="X21" s="29">
        <v>4236.0341799999997</v>
      </c>
      <c r="Y21" s="29">
        <v>4128.6459960000002</v>
      </c>
      <c r="Z21" s="29">
        <v>4017.9084469999998</v>
      </c>
      <c r="AA21" s="29">
        <v>3908.53125</v>
      </c>
      <c r="AB21" s="29">
        <v>3797.180664</v>
      </c>
      <c r="AC21" s="29">
        <v>3686.0585940000001</v>
      </c>
      <c r="AD21" s="29">
        <v>3576.9001459999999</v>
      </c>
      <c r="AE21" s="29">
        <v>3469.0808109999998</v>
      </c>
      <c r="AF21" s="29">
        <v>3361.226807</v>
      </c>
      <c r="AG21" s="29">
        <v>3254.033203</v>
      </c>
      <c r="AH21" s="29">
        <v>3149.7814939999998</v>
      </c>
      <c r="AI21" t="s">
        <v>90</v>
      </c>
    </row>
    <row r="22" spans="1:35" x14ac:dyDescent="0.85">
      <c r="A22" t="s">
        <v>127</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row>
    <row r="23" spans="1:35" x14ac:dyDescent="0.85">
      <c r="A23" t="s">
        <v>128</v>
      </c>
      <c r="B23" t="s">
        <v>129</v>
      </c>
      <c r="C23" t="s">
        <v>130</v>
      </c>
      <c r="D23" t="s">
        <v>89</v>
      </c>
      <c r="F23">
        <v>0</v>
      </c>
      <c r="G23" s="29">
        <v>3421.0124510000001</v>
      </c>
      <c r="H23" s="29">
        <v>3173.7329100000002</v>
      </c>
      <c r="I23" s="29">
        <v>3033.8542480000001</v>
      </c>
      <c r="J23" s="29">
        <v>2968.969971</v>
      </c>
      <c r="K23" s="29">
        <v>1584.088013</v>
      </c>
      <c r="L23" s="29">
        <v>3824.1054690000001</v>
      </c>
      <c r="M23" s="29">
        <v>3801.5974120000001</v>
      </c>
      <c r="N23" s="29">
        <v>3777.3752439999998</v>
      </c>
      <c r="O23" s="29">
        <v>3750.7602539999998</v>
      </c>
      <c r="P23" s="29">
        <v>3728.2292480000001</v>
      </c>
      <c r="Q23" s="29">
        <v>3707.576172</v>
      </c>
      <c r="R23" s="29">
        <v>3684.05249</v>
      </c>
      <c r="S23" s="29">
        <v>3659.0927729999999</v>
      </c>
      <c r="T23" s="29">
        <v>3632.0285640000002</v>
      </c>
      <c r="U23" s="29">
        <v>3606.2145999999998</v>
      </c>
      <c r="V23" s="29">
        <v>3581.4116210000002</v>
      </c>
      <c r="W23" s="29">
        <v>3555.408203</v>
      </c>
      <c r="X23" s="29">
        <v>3532.2602539999998</v>
      </c>
      <c r="Y23" s="29">
        <v>3508.2624510000001</v>
      </c>
      <c r="Z23" s="29">
        <v>3480.8847660000001</v>
      </c>
      <c r="AA23" s="29">
        <v>3454.0817870000001</v>
      </c>
      <c r="AB23" s="29">
        <v>3424.875</v>
      </c>
      <c r="AC23" s="29">
        <v>3395.1335450000001</v>
      </c>
      <c r="AD23" s="29">
        <v>3366.4477539999998</v>
      </c>
      <c r="AE23" s="29">
        <v>3338.2790530000002</v>
      </c>
      <c r="AF23" s="29">
        <v>3309.3027339999999</v>
      </c>
      <c r="AG23" s="29">
        <v>3280.1540530000002</v>
      </c>
      <c r="AH23" s="29">
        <v>3253.1665039999998</v>
      </c>
      <c r="AI23" t="s">
        <v>90</v>
      </c>
    </row>
    <row r="24" spans="1:35" x14ac:dyDescent="0.85">
      <c r="A24" t="s">
        <v>27</v>
      </c>
      <c r="B24" t="s">
        <v>131</v>
      </c>
      <c r="C24" t="s">
        <v>132</v>
      </c>
      <c r="D24" t="s">
        <v>89</v>
      </c>
      <c r="F24">
        <v>0</v>
      </c>
      <c r="G24" s="29">
        <v>3403.01001</v>
      </c>
      <c r="H24" s="29">
        <v>3146.8498540000001</v>
      </c>
      <c r="I24" s="29">
        <v>2998.361328</v>
      </c>
      <c r="J24" s="29">
        <v>2924.5903320000002</v>
      </c>
      <c r="K24" s="29">
        <v>2799.9335940000001</v>
      </c>
      <c r="L24" s="29">
        <v>2774.1188959999999</v>
      </c>
      <c r="M24" s="29">
        <v>2748.4567870000001</v>
      </c>
      <c r="N24" s="29">
        <v>2721.6103520000001</v>
      </c>
      <c r="O24" s="29">
        <v>2686.9079590000001</v>
      </c>
      <c r="P24" s="29">
        <v>2646.3696289999998</v>
      </c>
      <c r="Q24" s="29">
        <v>2621.1843260000001</v>
      </c>
      <c r="R24" s="29">
        <v>2647.445068</v>
      </c>
      <c r="S24" s="29">
        <v>2619.8884280000002</v>
      </c>
      <c r="T24" s="29">
        <v>2590.8984380000002</v>
      </c>
      <c r="U24" s="29">
        <v>2562.8774410000001</v>
      </c>
      <c r="V24" s="29">
        <v>2531.4978030000002</v>
      </c>
      <c r="W24" s="29">
        <v>2455.5261230000001</v>
      </c>
      <c r="X24" s="29">
        <v>2430.138672</v>
      </c>
      <c r="Y24" s="29">
        <v>2404.2294919999999</v>
      </c>
      <c r="Z24" s="29">
        <v>3073.4704590000001</v>
      </c>
      <c r="AA24" s="29">
        <v>3037.673096</v>
      </c>
      <c r="AB24" s="29">
        <v>2999.8771969999998</v>
      </c>
      <c r="AC24" s="29">
        <v>2961.73999</v>
      </c>
      <c r="AD24" s="29">
        <v>2924.6501459999999</v>
      </c>
      <c r="AE24" s="29">
        <v>2888.131836</v>
      </c>
      <c r="AF24" s="29">
        <v>2851.038818</v>
      </c>
      <c r="AG24" s="29">
        <v>2813.9270019999999</v>
      </c>
      <c r="AH24" s="29">
        <v>2778.7922359999998</v>
      </c>
      <c r="AI24" t="s">
        <v>90</v>
      </c>
    </row>
    <row r="25" spans="1:35" x14ac:dyDescent="0.85">
      <c r="A25" t="s">
        <v>133</v>
      </c>
      <c r="B25" t="s">
        <v>134</v>
      </c>
      <c r="C25" t="s">
        <v>135</v>
      </c>
      <c r="D25" t="s">
        <v>89</v>
      </c>
      <c r="F25">
        <v>0</v>
      </c>
      <c r="G25" s="29">
        <v>4997.892578</v>
      </c>
      <c r="H25" s="29">
        <v>4621.517578</v>
      </c>
      <c r="I25" s="29">
        <v>4403.2890619999998</v>
      </c>
      <c r="J25" s="29">
        <v>4294.4951170000004</v>
      </c>
      <c r="K25" s="29">
        <v>4239.90625</v>
      </c>
      <c r="L25" s="29">
        <v>4200.6616210000002</v>
      </c>
      <c r="M25" s="29">
        <v>4161.6484380000002</v>
      </c>
      <c r="N25" s="29">
        <v>4120.8422849999997</v>
      </c>
      <c r="O25" s="29">
        <v>4077.5268550000001</v>
      </c>
      <c r="P25" s="29">
        <v>4038.7456050000001</v>
      </c>
      <c r="Q25" s="29">
        <v>4001.6721189999998</v>
      </c>
      <c r="R25" s="29">
        <v>3961.9814449999999</v>
      </c>
      <c r="S25" s="29">
        <v>3920.8413089999999</v>
      </c>
      <c r="T25" s="29">
        <v>3877.5559079999998</v>
      </c>
      <c r="U25" s="29">
        <v>3835.719482</v>
      </c>
      <c r="V25" s="29">
        <v>3795.0654300000001</v>
      </c>
      <c r="W25" s="29">
        <v>3753.2470699999999</v>
      </c>
      <c r="X25" s="29">
        <v>3714.5463869999999</v>
      </c>
      <c r="Y25" s="29">
        <v>3675.0471189999998</v>
      </c>
      <c r="Z25" s="29">
        <v>3632.1213379999999</v>
      </c>
      <c r="AA25" s="29">
        <v>3589.921875</v>
      </c>
      <c r="AB25" s="29">
        <v>3545.359375</v>
      </c>
      <c r="AC25" s="29">
        <v>3500.392578</v>
      </c>
      <c r="AD25" s="29">
        <v>3456.6623540000001</v>
      </c>
      <c r="AE25" s="29">
        <v>3413.6066890000002</v>
      </c>
      <c r="AF25" s="29">
        <v>3368.9670409999999</v>
      </c>
      <c r="AG25" s="29">
        <v>3325.2192380000001</v>
      </c>
      <c r="AH25" s="29">
        <v>3283.8066410000001</v>
      </c>
      <c r="AI25" t="s">
        <v>90</v>
      </c>
    </row>
    <row r="26" spans="1:35" x14ac:dyDescent="0.85">
      <c r="A26" t="s">
        <v>136</v>
      </c>
      <c r="B26" t="s">
        <v>137</v>
      </c>
      <c r="C26" t="s">
        <v>138</v>
      </c>
      <c r="D26" t="s">
        <v>89</v>
      </c>
      <c r="F26">
        <v>0</v>
      </c>
      <c r="G26" s="29">
        <v>8731.8808590000008</v>
      </c>
      <c r="H26" s="29">
        <v>8073.8759769999997</v>
      </c>
      <c r="I26" s="29">
        <v>7692.2075199999999</v>
      </c>
      <c r="J26" s="29">
        <v>7502.2661129999997</v>
      </c>
      <c r="K26" s="29">
        <v>7406.4868159999996</v>
      </c>
      <c r="L26" s="29">
        <v>7337.515625</v>
      </c>
      <c r="M26" s="29">
        <v>7268.9501950000003</v>
      </c>
      <c r="N26" s="29">
        <v>7197.2573240000002</v>
      </c>
      <c r="O26" s="29">
        <v>7121.1821289999998</v>
      </c>
      <c r="P26" s="29">
        <v>7053.03125</v>
      </c>
      <c r="Q26" s="29">
        <v>6988.5610349999997</v>
      </c>
      <c r="R26" s="29">
        <v>6918.8188479999999</v>
      </c>
      <c r="S26" s="29">
        <v>6846.5483400000003</v>
      </c>
      <c r="T26" s="29">
        <v>6770.5346680000002</v>
      </c>
      <c r="U26" s="29">
        <v>6697.0551759999998</v>
      </c>
      <c r="V26" s="29">
        <v>6625.6420900000003</v>
      </c>
      <c r="W26" s="29">
        <v>6552.1997069999998</v>
      </c>
      <c r="X26" s="29">
        <v>6484.203125</v>
      </c>
      <c r="Y26" s="29">
        <v>6414.8168949999999</v>
      </c>
      <c r="Z26" s="29">
        <v>6339.4521480000003</v>
      </c>
      <c r="AA26" s="29">
        <v>6265.359375</v>
      </c>
      <c r="AB26" s="29">
        <v>6187.1459960000002</v>
      </c>
      <c r="AC26" s="29">
        <v>6108.2319340000004</v>
      </c>
      <c r="AD26" s="29">
        <v>6031.4804690000001</v>
      </c>
      <c r="AE26" s="29">
        <v>5955.9106449999999</v>
      </c>
      <c r="AF26" s="29">
        <v>5879.1577150000003</v>
      </c>
      <c r="AG26" s="29">
        <v>5802.3691410000001</v>
      </c>
      <c r="AH26" s="29">
        <v>5729.6601559999999</v>
      </c>
      <c r="AI26" t="s">
        <v>90</v>
      </c>
    </row>
    <row r="27" spans="1:35" x14ac:dyDescent="0.85">
      <c r="A27" t="s">
        <v>139</v>
      </c>
      <c r="B27" t="s">
        <v>140</v>
      </c>
      <c r="C27" t="s">
        <v>141</v>
      </c>
      <c r="D27" t="s">
        <v>89</v>
      </c>
      <c r="F27">
        <v>0</v>
      </c>
      <c r="G27" s="29">
        <v>1443.0444339999999</v>
      </c>
      <c r="H27" s="29">
        <v>1286.9957280000001</v>
      </c>
      <c r="I27" s="29">
        <v>1185.1860349999999</v>
      </c>
      <c r="J27" s="29">
        <v>1122.154419</v>
      </c>
      <c r="K27" s="29">
        <v>1077.1695560000001</v>
      </c>
      <c r="L27" s="29">
        <v>1039.311768</v>
      </c>
      <c r="M27" s="29">
        <v>1012.837097</v>
      </c>
      <c r="N27" s="29">
        <v>995.48168899999996</v>
      </c>
      <c r="O27" s="29">
        <v>982.21765100000005</v>
      </c>
      <c r="P27" s="29">
        <v>970.671875</v>
      </c>
      <c r="Q27" s="29">
        <v>959.34393299999999</v>
      </c>
      <c r="R27" s="29">
        <v>947.29455600000006</v>
      </c>
      <c r="S27" s="29">
        <v>935.24731399999996</v>
      </c>
      <c r="T27" s="29">
        <v>922.70532200000002</v>
      </c>
      <c r="U27" s="29">
        <v>910.52600099999995</v>
      </c>
      <c r="V27" s="29">
        <v>898.64392099999998</v>
      </c>
      <c r="W27" s="29">
        <v>886.50323500000002</v>
      </c>
      <c r="X27" s="29">
        <v>875.11505099999999</v>
      </c>
      <c r="Y27" s="29">
        <v>863.55395499999997</v>
      </c>
      <c r="Z27" s="29">
        <v>851.20574999999997</v>
      </c>
      <c r="AA27" s="29">
        <v>839.04785200000003</v>
      </c>
      <c r="AB27" s="29">
        <v>826.35943599999996</v>
      </c>
      <c r="AC27" s="29">
        <v>813.60058600000002</v>
      </c>
      <c r="AD27" s="29">
        <v>801.15313700000002</v>
      </c>
      <c r="AE27" s="29">
        <v>788.88525400000003</v>
      </c>
      <c r="AF27" s="29">
        <v>776.48394800000005</v>
      </c>
      <c r="AG27" s="29">
        <v>764.10192900000004</v>
      </c>
      <c r="AH27" s="29">
        <v>752.28021200000001</v>
      </c>
      <c r="AI27" t="s">
        <v>90</v>
      </c>
    </row>
    <row r="28" spans="1:35" x14ac:dyDescent="0.85">
      <c r="A28" t="s">
        <v>142</v>
      </c>
      <c r="B28" t="s">
        <v>143</v>
      </c>
      <c r="C28" t="s">
        <v>144</v>
      </c>
      <c r="D28" t="s">
        <v>89</v>
      </c>
      <c r="F28">
        <v>0</v>
      </c>
      <c r="G28" s="29">
        <v>1808.185669</v>
      </c>
      <c r="H28" s="29">
        <v>1590.5437010000001</v>
      </c>
      <c r="I28" s="29">
        <v>1445.3826899999999</v>
      </c>
      <c r="J28" s="29">
        <v>1359.7670900000001</v>
      </c>
      <c r="K28" s="29">
        <v>1303.533447</v>
      </c>
      <c r="L28" s="29">
        <v>1258.815918</v>
      </c>
      <c r="M28" s="29">
        <v>1224.7073969999999</v>
      </c>
      <c r="N28" s="29">
        <v>1198.977539</v>
      </c>
      <c r="O28" s="29">
        <v>1180.294922</v>
      </c>
      <c r="P28" s="29">
        <v>1165.4866939999999</v>
      </c>
      <c r="Q28" s="29">
        <v>1151.005005</v>
      </c>
      <c r="R28" s="29">
        <v>1135.665039</v>
      </c>
      <c r="S28" s="29">
        <v>1120.2673339999999</v>
      </c>
      <c r="T28" s="29">
        <v>1104.2841800000001</v>
      </c>
      <c r="U28" s="29">
        <v>1088.7429199999999</v>
      </c>
      <c r="V28" s="29">
        <v>1073.5642089999999</v>
      </c>
      <c r="W28" s="29">
        <v>1058.0839840000001</v>
      </c>
      <c r="X28" s="29">
        <v>1043.509033</v>
      </c>
      <c r="Y28" s="29">
        <v>1028.7344969999999</v>
      </c>
      <c r="Z28" s="29">
        <v>1013.030212</v>
      </c>
      <c r="AA28" s="29">
        <v>997.56152299999997</v>
      </c>
      <c r="AB28" s="29">
        <v>981.47143600000004</v>
      </c>
      <c r="AC28" s="29">
        <v>965.30828899999995</v>
      </c>
      <c r="AD28" s="29">
        <v>949.52551300000005</v>
      </c>
      <c r="AE28" s="29">
        <v>933.96575900000005</v>
      </c>
      <c r="AF28" s="29">
        <v>918.25854500000003</v>
      </c>
      <c r="AG28" s="29">
        <v>902.58520499999997</v>
      </c>
      <c r="AH28" s="29">
        <v>887.58453399999996</v>
      </c>
      <c r="AI28" t="s">
        <v>90</v>
      </c>
    </row>
    <row r="29" spans="1:35" x14ac:dyDescent="0.85">
      <c r="A29" t="s">
        <v>74</v>
      </c>
      <c r="B29" t="s">
        <v>145</v>
      </c>
      <c r="C29" t="s">
        <v>146</v>
      </c>
      <c r="D29" t="s">
        <v>89</v>
      </c>
      <c r="F29">
        <v>0</v>
      </c>
      <c r="G29" s="29">
        <v>1566.117432</v>
      </c>
      <c r="H29" s="29">
        <v>1452.9144289999999</v>
      </c>
      <c r="I29" s="29">
        <v>1388.8789059999999</v>
      </c>
      <c r="J29" s="29">
        <v>1359.175293</v>
      </c>
      <c r="K29" s="29">
        <v>1346.41626</v>
      </c>
      <c r="L29" s="29">
        <v>1338.489014</v>
      </c>
      <c r="M29" s="29">
        <v>1330.610962</v>
      </c>
      <c r="N29" s="29">
        <v>1322.1328120000001</v>
      </c>
      <c r="O29" s="29">
        <v>1312.817139</v>
      </c>
      <c r="P29" s="29">
        <v>1304.93103</v>
      </c>
      <c r="Q29" s="29">
        <v>1297.7022710000001</v>
      </c>
      <c r="R29" s="29">
        <v>1289.4686280000001</v>
      </c>
      <c r="S29" s="29">
        <v>1280.732422</v>
      </c>
      <c r="T29" s="29">
        <v>1271.2595209999999</v>
      </c>
      <c r="U29" s="29">
        <v>1262.224121</v>
      </c>
      <c r="V29" s="29">
        <v>1253.5428469999999</v>
      </c>
      <c r="W29" s="29">
        <v>1244.441284</v>
      </c>
      <c r="X29" s="29">
        <v>1236.3392329999999</v>
      </c>
      <c r="Y29" s="29">
        <v>1227.939697</v>
      </c>
      <c r="Z29" s="29">
        <v>1218.357178</v>
      </c>
      <c r="AA29" s="29">
        <v>1208.9757079999999</v>
      </c>
      <c r="AB29" s="29">
        <v>1198.753052</v>
      </c>
      <c r="AC29" s="29">
        <v>1188.343018</v>
      </c>
      <c r="AD29" s="29">
        <v>1178.3027340000001</v>
      </c>
      <c r="AE29" s="29">
        <v>1168.4433590000001</v>
      </c>
      <c r="AF29" s="29">
        <v>1158.301025</v>
      </c>
      <c r="AG29" s="29">
        <v>1148.0986330000001</v>
      </c>
      <c r="AH29" s="29">
        <v>1138.6525879999999</v>
      </c>
      <c r="AI29" t="s">
        <v>90</v>
      </c>
    </row>
    <row r="30" spans="1:35" x14ac:dyDescent="0.85">
      <c r="A30" t="s">
        <v>147</v>
      </c>
      <c r="B30" t="s">
        <v>148</v>
      </c>
      <c r="C30" t="s">
        <v>149</v>
      </c>
      <c r="D30" t="s">
        <v>89</v>
      </c>
      <c r="F30">
        <v>0</v>
      </c>
      <c r="G30" s="29">
        <v>6672.1513670000004</v>
      </c>
      <c r="H30" s="29">
        <v>6159.7836909999996</v>
      </c>
      <c r="I30" s="29">
        <v>5775.7670900000003</v>
      </c>
      <c r="J30" s="29">
        <v>4495.0634769999997</v>
      </c>
      <c r="K30" s="29">
        <v>4426.6938479999999</v>
      </c>
      <c r="L30" s="29">
        <v>4374.4453119999998</v>
      </c>
      <c r="M30" s="29">
        <v>4322.5</v>
      </c>
      <c r="N30" s="29">
        <v>3696.7302249999998</v>
      </c>
      <c r="O30" s="29">
        <v>3645.8178710000002</v>
      </c>
      <c r="P30" s="29">
        <v>3417.149414</v>
      </c>
      <c r="Q30" s="29">
        <v>3372.7534179999998</v>
      </c>
      <c r="R30" s="29">
        <v>3325.883789</v>
      </c>
      <c r="S30" s="29">
        <v>3277.8872070000002</v>
      </c>
      <c r="T30" s="29">
        <v>3228.2009280000002</v>
      </c>
      <c r="U30" s="29">
        <v>3164.4733890000002</v>
      </c>
      <c r="V30" s="29">
        <v>3117.2385250000002</v>
      </c>
      <c r="W30" s="29">
        <v>3069.1516109999998</v>
      </c>
      <c r="X30" s="29">
        <v>3023.713135</v>
      </c>
      <c r="Y30" s="29">
        <v>2977.718018</v>
      </c>
      <c r="Z30" s="29">
        <v>2929.0573730000001</v>
      </c>
      <c r="AA30" s="29">
        <v>2881.1059570000002</v>
      </c>
      <c r="AB30" s="29">
        <v>2831.3911130000001</v>
      </c>
      <c r="AC30" s="29">
        <v>2781.5</v>
      </c>
      <c r="AD30" s="29">
        <v>2732.7390140000002</v>
      </c>
      <c r="AE30" s="29">
        <v>2684.6533199999999</v>
      </c>
      <c r="AF30" s="29">
        <v>2636.1784670000002</v>
      </c>
      <c r="AG30" s="29">
        <v>2587.8371579999998</v>
      </c>
      <c r="AH30" s="29">
        <v>2541.45874</v>
      </c>
      <c r="AI30" t="s">
        <v>90</v>
      </c>
    </row>
    <row r="31" spans="1:35" x14ac:dyDescent="0.85">
      <c r="A31" t="s">
        <v>150</v>
      </c>
      <c r="B31" t="s">
        <v>151</v>
      </c>
      <c r="C31" t="s">
        <v>152</v>
      </c>
      <c r="D31" t="s">
        <v>89</v>
      </c>
      <c r="F31">
        <v>0</v>
      </c>
      <c r="G31" s="29">
        <v>1270.2329099999999</v>
      </c>
      <c r="H31" s="29">
        <v>1063.931763</v>
      </c>
      <c r="I31" s="29">
        <v>918.24194299999999</v>
      </c>
      <c r="J31" s="29">
        <v>841.15313700000002</v>
      </c>
      <c r="K31" s="29">
        <v>801.37914999999998</v>
      </c>
      <c r="L31" s="29">
        <v>776.07074</v>
      </c>
      <c r="M31" s="29">
        <v>749.59875499999998</v>
      </c>
      <c r="N31" s="29">
        <v>721.81372099999999</v>
      </c>
      <c r="O31" s="29">
        <v>703.73632799999996</v>
      </c>
      <c r="P31" s="29">
        <v>692.52636700000005</v>
      </c>
      <c r="Q31" s="29">
        <v>681.70105000000001</v>
      </c>
      <c r="R31" s="29">
        <v>670.38562000000002</v>
      </c>
      <c r="S31" s="29">
        <v>658.85546899999997</v>
      </c>
      <c r="T31" s="29">
        <v>647</v>
      </c>
      <c r="U31" s="29">
        <v>635.42315699999995</v>
      </c>
      <c r="V31" s="29">
        <v>624.07659899999999</v>
      </c>
      <c r="W31" s="29">
        <v>612.573669</v>
      </c>
      <c r="X31" s="29">
        <v>601.61303699999996</v>
      </c>
      <c r="Y31" s="29">
        <v>590.55438200000003</v>
      </c>
      <c r="Z31" s="29">
        <v>578.98236099999997</v>
      </c>
      <c r="AA31" s="29">
        <v>567.56793200000004</v>
      </c>
      <c r="AB31" s="29">
        <v>555.824524</v>
      </c>
      <c r="AC31" s="29">
        <v>544.06732199999999</v>
      </c>
      <c r="AD31" s="29">
        <v>532.55175799999995</v>
      </c>
      <c r="AE31" s="29">
        <v>521.18811000000005</v>
      </c>
      <c r="AF31" s="29">
        <v>509.76962300000002</v>
      </c>
      <c r="AG31" s="29">
        <v>498.39874300000002</v>
      </c>
      <c r="AH31" s="29">
        <v>487.426941</v>
      </c>
      <c r="AI31" t="s">
        <v>90</v>
      </c>
    </row>
    <row r="32" spans="1:35" x14ac:dyDescent="0.85">
      <c r="A32" t="s">
        <v>153</v>
      </c>
      <c r="G32" s="29"/>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row>
    <row r="33" spans="1:35" x14ac:dyDescent="0.85">
      <c r="A33" t="s">
        <v>154</v>
      </c>
      <c r="B33" t="s">
        <v>155</v>
      </c>
      <c r="C33" t="s">
        <v>156</v>
      </c>
      <c r="D33" t="s">
        <v>89</v>
      </c>
      <c r="F33">
        <v>0</v>
      </c>
      <c r="G33" s="29">
        <v>1914.66272</v>
      </c>
      <c r="H33" s="29">
        <v>1770.537476</v>
      </c>
      <c r="I33" s="29">
        <v>1686.991943</v>
      </c>
      <c r="J33" s="29">
        <v>1645.485596</v>
      </c>
      <c r="K33" s="29">
        <v>1624.6281739999999</v>
      </c>
      <c r="L33" s="29">
        <v>1609.649658</v>
      </c>
      <c r="M33" s="29">
        <v>1594.759399</v>
      </c>
      <c r="N33" s="29">
        <v>1579.1820070000001</v>
      </c>
      <c r="O33" s="29">
        <v>1562.6423339999999</v>
      </c>
      <c r="P33" s="29">
        <v>1547.8398440000001</v>
      </c>
      <c r="Q33" s="29">
        <v>1533.8450929999999</v>
      </c>
      <c r="R33" s="29">
        <v>1518.6920170000001</v>
      </c>
      <c r="S33" s="29">
        <v>1502.9829099999999</v>
      </c>
      <c r="T33" s="29">
        <v>1486.4510499999999</v>
      </c>
      <c r="U33" s="29">
        <v>1470.4742429999999</v>
      </c>
      <c r="V33" s="29">
        <v>1454.9499510000001</v>
      </c>
      <c r="W33" s="29">
        <v>1438.979004</v>
      </c>
      <c r="X33" s="29">
        <v>1424.2030030000001</v>
      </c>
      <c r="Y33" s="29">
        <v>1409.120361</v>
      </c>
      <c r="Z33" s="29">
        <v>1392.723389</v>
      </c>
      <c r="AA33" s="29">
        <v>1376.60437</v>
      </c>
      <c r="AB33" s="29">
        <v>1359.5786129999999</v>
      </c>
      <c r="AC33" s="29">
        <v>1342.3969729999999</v>
      </c>
      <c r="AD33" s="29">
        <v>1325.6892089999999</v>
      </c>
      <c r="AE33" s="29">
        <v>1309.23938</v>
      </c>
      <c r="AF33" s="29">
        <v>1292.527832</v>
      </c>
      <c r="AG33" s="29">
        <v>1275.806763</v>
      </c>
      <c r="AH33" s="29">
        <v>1259.9810789999999</v>
      </c>
      <c r="AI33" t="s">
        <v>90</v>
      </c>
    </row>
    <row r="34" spans="1:35" x14ac:dyDescent="0.85">
      <c r="A34" t="s">
        <v>157</v>
      </c>
      <c r="B34" t="s">
        <v>158</v>
      </c>
      <c r="C34" t="s">
        <v>159</v>
      </c>
      <c r="D34" t="s">
        <v>89</v>
      </c>
      <c r="F34">
        <v>0</v>
      </c>
      <c r="G34" s="29">
        <v>2300.0187989999999</v>
      </c>
      <c r="H34" s="29">
        <v>2126.8859859999998</v>
      </c>
      <c r="I34" s="29">
        <v>2026.525879</v>
      </c>
      <c r="J34" s="29">
        <v>1950.9948730000001</v>
      </c>
      <c r="K34" s="29">
        <v>1841.9121090000001</v>
      </c>
      <c r="L34" s="29">
        <v>1745.0897219999999</v>
      </c>
      <c r="M34" s="29">
        <v>1653.376831</v>
      </c>
      <c r="N34" s="29">
        <v>1603.185547</v>
      </c>
      <c r="O34" s="29">
        <v>1562.505615</v>
      </c>
      <c r="P34" s="29">
        <v>1545.5986330000001</v>
      </c>
      <c r="Q34" s="29">
        <v>1529.5089109999999</v>
      </c>
      <c r="R34" s="29">
        <v>1512.275635</v>
      </c>
      <c r="S34" s="29">
        <v>1494.503052</v>
      </c>
      <c r="T34" s="29">
        <v>1475.928467</v>
      </c>
      <c r="U34" s="29">
        <v>1457.9223629999999</v>
      </c>
      <c r="V34" s="29">
        <v>1440.380981</v>
      </c>
      <c r="W34" s="29">
        <v>1422.4136960000001</v>
      </c>
      <c r="X34" s="29">
        <v>1405.643188</v>
      </c>
      <c r="Y34" s="29">
        <v>1388.584717</v>
      </c>
      <c r="Z34" s="29">
        <v>1370.2482910000001</v>
      </c>
      <c r="AA34" s="29">
        <v>1352.2048339999999</v>
      </c>
      <c r="AB34" s="29">
        <v>1333.291626</v>
      </c>
      <c r="AC34" s="29">
        <v>1314.248779</v>
      </c>
      <c r="AD34" s="29">
        <v>1295.6926269999999</v>
      </c>
      <c r="AE34" s="29">
        <v>1277.410889</v>
      </c>
      <c r="AF34" s="29">
        <v>1258.8969729999999</v>
      </c>
      <c r="AG34" s="29">
        <v>1240.3973390000001</v>
      </c>
      <c r="AH34" s="29">
        <v>1222.7910159999999</v>
      </c>
      <c r="AI34" t="s">
        <v>90</v>
      </c>
    </row>
    <row r="160" spans="2:2" x14ac:dyDescent="0.85">
      <c r="B160" s="26"/>
    </row>
    <row r="165" spans="2:2" x14ac:dyDescent="0.85">
      <c r="B165" s="27"/>
    </row>
    <row r="166" spans="2:2" x14ac:dyDescent="0.85">
      <c r="B166" s="27"/>
    </row>
  </sheetData>
  <hyperlinks>
    <hyperlink ref="A2" r:id="rId1" location="/?id=123-AEO2023&amp;cases=ref2023&amp;sourcekey=0" xr:uid="{94433602-9C7D-4C5E-98AD-F1AF443BBF8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BC979-B318-45D7-A362-D0FEA90ABBEA}">
  <dimension ref="A1:A31"/>
  <sheetViews>
    <sheetView workbookViewId="0">
      <selection activeCell="A5" sqref="A5"/>
    </sheetView>
  </sheetViews>
  <sheetFormatPr defaultRowHeight="14.6" x14ac:dyDescent="0.85"/>
  <cols>
    <col min="1" max="1" width="62.73046875" customWidth="1"/>
  </cols>
  <sheetData>
    <row r="1" spans="1:1" x14ac:dyDescent="0.85">
      <c r="A1" t="s">
        <v>245</v>
      </c>
    </row>
    <row r="3" spans="1:1" ht="43.75" x14ac:dyDescent="0.85">
      <c r="A3" s="39" t="s">
        <v>255</v>
      </c>
    </row>
    <row r="4" spans="1:1" x14ac:dyDescent="0.85">
      <c r="A4" s="39"/>
    </row>
    <row r="5" spans="1:1" ht="58.3" x14ac:dyDescent="0.85">
      <c r="A5" s="39" t="s">
        <v>256</v>
      </c>
    </row>
    <row r="6" spans="1:1" x14ac:dyDescent="0.85">
      <c r="A6" s="39"/>
    </row>
    <row r="7" spans="1:1" x14ac:dyDescent="0.85">
      <c r="A7" s="40">
        <v>2599</v>
      </c>
    </row>
    <row r="8" spans="1:1" x14ac:dyDescent="0.85">
      <c r="A8" s="40">
        <v>1763</v>
      </c>
    </row>
    <row r="9" spans="1:1" x14ac:dyDescent="0.85">
      <c r="A9" s="40">
        <v>1331</v>
      </c>
    </row>
    <row r="10" spans="1:1" x14ac:dyDescent="0.85">
      <c r="A10" s="40">
        <v>1331</v>
      </c>
    </row>
    <row r="11" spans="1:1" x14ac:dyDescent="0.85">
      <c r="A11" s="40">
        <v>1753</v>
      </c>
    </row>
    <row r="12" spans="1:1" x14ac:dyDescent="0.85">
      <c r="A12" s="40">
        <v>2661</v>
      </c>
    </row>
    <row r="13" spans="1:1" x14ac:dyDescent="0.85">
      <c r="A13" s="40">
        <v>1763</v>
      </c>
    </row>
    <row r="14" spans="1:1" x14ac:dyDescent="0.85">
      <c r="A14" s="40">
        <v>1774</v>
      </c>
    </row>
    <row r="15" spans="1:1" x14ac:dyDescent="0.85">
      <c r="A15" s="40">
        <v>2151</v>
      </c>
    </row>
    <row r="16" spans="1:1" x14ac:dyDescent="0.85">
      <c r="A16" s="40">
        <v>1763</v>
      </c>
    </row>
    <row r="17" spans="1:1" x14ac:dyDescent="0.85">
      <c r="A17" s="40">
        <v>1464</v>
      </c>
    </row>
    <row r="18" spans="1:1" x14ac:dyDescent="0.85">
      <c r="A18" s="40">
        <v>1938</v>
      </c>
    </row>
    <row r="19" spans="1:1" x14ac:dyDescent="0.85">
      <c r="A19" s="40">
        <v>3673</v>
      </c>
    </row>
    <row r="20" spans="1:1" x14ac:dyDescent="0.85">
      <c r="A20" s="40">
        <v>3173</v>
      </c>
    </row>
    <row r="21" spans="1:1" x14ac:dyDescent="0.85">
      <c r="A21" s="40">
        <v>3596</v>
      </c>
    </row>
    <row r="22" spans="1:1" x14ac:dyDescent="0.85">
      <c r="A22" s="40">
        <v>2661</v>
      </c>
    </row>
    <row r="23" spans="1:1" x14ac:dyDescent="0.85">
      <c r="A23" s="40">
        <v>1464</v>
      </c>
    </row>
    <row r="24" spans="1:1" x14ac:dyDescent="0.85">
      <c r="A24" s="40">
        <v>1331</v>
      </c>
    </row>
    <row r="25" spans="1:1" x14ac:dyDescent="0.85">
      <c r="A25" s="40">
        <v>1464</v>
      </c>
    </row>
    <row r="26" spans="1:1" x14ac:dyDescent="0.85">
      <c r="A26" s="40">
        <v>1331</v>
      </c>
    </row>
    <row r="27" spans="1:1" x14ac:dyDescent="0.85">
      <c r="A27" s="40">
        <v>2938</v>
      </c>
    </row>
    <row r="28" spans="1:1" x14ac:dyDescent="0.85">
      <c r="A28" s="40">
        <v>2307</v>
      </c>
    </row>
    <row r="29" spans="1:1" x14ac:dyDescent="0.85">
      <c r="A29" s="40">
        <v>2204</v>
      </c>
    </row>
    <row r="30" spans="1:1" x14ac:dyDescent="0.85">
      <c r="A30" s="40">
        <v>1464</v>
      </c>
    </row>
    <row r="31" spans="1:1" x14ac:dyDescent="0.85">
      <c r="A31" s="40">
        <v>1464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E0997-420B-4AF1-9AF8-8FC61092C1EB}">
  <dimension ref="A1:G16"/>
  <sheetViews>
    <sheetView workbookViewId="0">
      <selection activeCell="C9" sqref="C9"/>
    </sheetView>
  </sheetViews>
  <sheetFormatPr defaultRowHeight="14.6" x14ac:dyDescent="0.85"/>
  <sheetData>
    <row r="1" spans="1:7" x14ac:dyDescent="0.85">
      <c r="A1" t="s">
        <v>245</v>
      </c>
    </row>
    <row r="2" spans="1:7" ht="15.9" x14ac:dyDescent="0.9">
      <c r="A2" s="3" t="s">
        <v>160</v>
      </c>
    </row>
    <row r="4" spans="1:7" ht="49.3" thickBot="1" x14ac:dyDescent="1">
      <c r="A4" s="4" t="s">
        <v>161</v>
      </c>
      <c r="B4" s="4" t="s">
        <v>162</v>
      </c>
      <c r="C4" s="4" t="s">
        <v>163</v>
      </c>
      <c r="G4" s="1" t="s">
        <v>244</v>
      </c>
    </row>
    <row r="5" spans="1:7" ht="15.25" thickTop="1" x14ac:dyDescent="0.85">
      <c r="A5" s="2" t="s">
        <v>13</v>
      </c>
      <c r="B5" s="33">
        <v>85.000001999999995</v>
      </c>
      <c r="C5" s="34">
        <v>0.108927</v>
      </c>
    </row>
    <row r="6" spans="1:7" x14ac:dyDescent="0.85">
      <c r="A6" s="2" t="s">
        <v>19</v>
      </c>
      <c r="B6" s="33">
        <v>83</v>
      </c>
      <c r="C6" s="34">
        <v>7.048699999999998E-2</v>
      </c>
    </row>
    <row r="7" spans="1:7" x14ac:dyDescent="0.85">
      <c r="A7" s="2" t="s">
        <v>20</v>
      </c>
      <c r="B7" s="33">
        <v>89.999998000000005</v>
      </c>
      <c r="C7" s="34">
        <v>7.3704999999999965E-2</v>
      </c>
    </row>
    <row r="8" spans="1:7" x14ac:dyDescent="0.85">
      <c r="A8" s="2" t="s">
        <v>24</v>
      </c>
      <c r="B8" s="33">
        <v>87</v>
      </c>
      <c r="C8" s="34">
        <v>0.104838</v>
      </c>
    </row>
    <row r="9" spans="1:7" x14ac:dyDescent="0.85">
      <c r="A9" s="2" t="s">
        <v>27</v>
      </c>
      <c r="B9" s="33">
        <v>90</v>
      </c>
      <c r="C9" s="34">
        <v>6.9028999999999993E-2</v>
      </c>
    </row>
    <row r="10" spans="1:7" x14ac:dyDescent="0.85">
      <c r="A10" s="2" t="s">
        <v>29</v>
      </c>
      <c r="B10" s="33">
        <v>43.506646199999999</v>
      </c>
      <c r="C10" s="34">
        <v>6.7126000000000005E-2</v>
      </c>
    </row>
    <row r="11" spans="1:7" x14ac:dyDescent="0.85">
      <c r="A11" s="2" t="s">
        <v>30</v>
      </c>
      <c r="B11" s="33">
        <v>55.872984086956521</v>
      </c>
      <c r="C11" s="34">
        <v>7.8443999999999972E-2</v>
      </c>
    </row>
    <row r="12" spans="1:7" x14ac:dyDescent="0.85">
      <c r="A12" s="2" t="s">
        <v>33</v>
      </c>
      <c r="B12" s="33">
        <v>28.259836959999998</v>
      </c>
      <c r="C12" s="34">
        <v>6.4834000000000044E-2</v>
      </c>
    </row>
    <row r="13" spans="1:7" x14ac:dyDescent="0.85">
      <c r="A13" s="2" t="s">
        <v>34</v>
      </c>
      <c r="B13" s="33">
        <v>40.325625869565215</v>
      </c>
      <c r="C13" s="34">
        <v>6.5252000000000018E-2</v>
      </c>
    </row>
    <row r="14" spans="1:7" x14ac:dyDescent="0.85">
      <c r="A14" s="2" t="s">
        <v>37</v>
      </c>
      <c r="B14" s="33">
        <v>28.817311880000002</v>
      </c>
      <c r="C14" s="34">
        <v>6.4834000000000044E-2</v>
      </c>
    </row>
    <row r="15" spans="1:7" x14ac:dyDescent="0.85">
      <c r="A15" s="2" t="s">
        <v>41</v>
      </c>
      <c r="B15" s="33">
        <v>10</v>
      </c>
      <c r="C15" s="34">
        <v>7.2807000000000024E-2</v>
      </c>
    </row>
    <row r="16" spans="1:7" x14ac:dyDescent="0.85">
      <c r="A16" s="2" t="s">
        <v>42</v>
      </c>
      <c r="B16" s="33">
        <v>10</v>
      </c>
      <c r="C16" s="34">
        <v>6.4426000000000039E-2</v>
      </c>
    </row>
  </sheetData>
  <hyperlinks>
    <hyperlink ref="G4" r:id="rId1" xr:uid="{A5F31220-D949-469D-BDF8-DC5198C4C9D2}"/>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Calc</vt:lpstr>
      <vt:lpstr>CSV</vt:lpstr>
      <vt:lpstr>CO2</vt:lpstr>
      <vt:lpstr>EIA Outlook 2023</vt:lpstr>
      <vt:lpstr>Cap cost 2023</vt:lpstr>
      <vt:lpstr>Cap cost 2020</vt:lpstr>
      <vt:lpstr>Table 55</vt:lpstr>
      <vt:lpstr>Supply Cost Mult</vt:lpstr>
      <vt:lpstr>Fixed Charge Factor</vt:lpstr>
      <vt:lpstr>Hours_per_year</vt:lpstr>
      <vt:lpstr>ppy</vt:lpstr>
      <vt:lpstr>Rate</vt:lpstr>
      <vt:lpstr>tons2tonnes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 Gold</dc:creator>
  <cp:lastModifiedBy>Cliff Gold</cp:lastModifiedBy>
  <dcterms:created xsi:type="dcterms:W3CDTF">2023-10-11T22:15:57Z</dcterms:created>
  <dcterms:modified xsi:type="dcterms:W3CDTF">2023-12-03T01:02:41Z</dcterms:modified>
</cp:coreProperties>
</file>